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COURS\COURS VRD\"/>
    </mc:Choice>
  </mc:AlternateContent>
  <xr:revisionPtr revIDLastSave="0" documentId="13_ncr:1_{B8E9BE14-CDB4-4195-A176-EB191A6680D0}" xr6:coauthVersionLast="47" xr6:coauthVersionMax="47" xr10:uidLastSave="{00000000-0000-0000-0000-000000000000}"/>
  <bookViews>
    <workbookView xWindow="-108" yWindow="-108" windowWidth="23256" windowHeight="12456" firstSheet="6" activeTab="9" xr2:uid="{FF09CE8E-FAB0-436A-BC7B-39AB03E61FF2}"/>
  </bookViews>
  <sheets>
    <sheet name="1 projection démograpique" sheetId="1" r:id="rId1"/>
    <sheet name="2 cons domestique " sheetId="2" r:id="rId2"/>
    <sheet name="3 Q MAX JOURNALIER" sheetId="3" r:id="rId3"/>
    <sheet name="4 et 5 Q MO HORAIRE" sheetId="4" r:id="rId4"/>
    <sheet name="6 variat Q hor" sheetId="5" r:id="rId5"/>
    <sheet name="7 EQUIP EDUC " sheetId="6" r:id="rId6"/>
    <sheet name="8 etablissement sanitaire" sheetId="8" r:id="rId7"/>
    <sheet name="9 equi sport" sheetId="7" r:id="rId8"/>
    <sheet name="10 11 et 12 besoin total" sheetId="9" r:id="rId9"/>
    <sheet name="13 et 14 pertes et Q de pointe"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9" l="1"/>
  <c r="H25" i="5"/>
  <c r="H26" i="5" s="1"/>
  <c r="H27" i="5" s="1"/>
  <c r="H28" i="5" s="1"/>
  <c r="H29" i="5" s="1"/>
  <c r="H30" i="5" s="1"/>
  <c r="H31" i="5" s="1"/>
  <c r="H32" i="5" s="1"/>
  <c r="H33" i="5" s="1"/>
  <c r="G20" i="5"/>
  <c r="G21" i="5"/>
  <c r="G22" i="5"/>
  <c r="G23" i="5"/>
  <c r="G24" i="5"/>
  <c r="G25" i="5"/>
  <c r="G26" i="5"/>
  <c r="G27" i="5"/>
  <c r="G28" i="5"/>
  <c r="G29" i="5"/>
  <c r="G30" i="5"/>
  <c r="G31" i="5"/>
  <c r="G32" i="5"/>
  <c r="G33" i="5"/>
  <c r="G19" i="5"/>
  <c r="G18" i="5"/>
  <c r="G17" i="5"/>
  <c r="G15" i="5"/>
  <c r="G16" i="5"/>
  <c r="G14" i="5"/>
  <c r="G13" i="5"/>
  <c r="G12" i="5"/>
  <c r="G11" i="5"/>
  <c r="G10" i="5"/>
  <c r="H10" i="5"/>
  <c r="E10" i="5"/>
  <c r="E9" i="5"/>
  <c r="F16" i="3"/>
  <c r="E11" i="1"/>
  <c r="G64" i="9"/>
  <c r="H64" i="9" s="1"/>
  <c r="G63" i="9"/>
  <c r="H63" i="9" s="1"/>
  <c r="G62" i="9"/>
  <c r="H62" i="9" s="1"/>
  <c r="G61" i="9"/>
  <c r="H61" i="9" s="1"/>
  <c r="G60" i="9"/>
  <c r="H60" i="9" s="1"/>
  <c r="G59" i="9"/>
  <c r="H59" i="9" s="1"/>
  <c r="G58" i="9"/>
  <c r="H58" i="9" s="1"/>
  <c r="G57" i="9"/>
  <c r="H57" i="9" s="1"/>
  <c r="G56" i="9"/>
  <c r="H56" i="9" s="1"/>
  <c r="G55" i="9"/>
  <c r="H55" i="9" s="1"/>
  <c r="G54" i="9"/>
  <c r="H54" i="9" s="1"/>
  <c r="G53" i="9"/>
  <c r="H53" i="9" s="1"/>
  <c r="G52" i="9"/>
  <c r="H52" i="9" s="1"/>
  <c r="G51" i="9"/>
  <c r="H51" i="9" s="1"/>
  <c r="G42" i="9"/>
  <c r="H42" i="9" s="1"/>
  <c r="G41" i="9"/>
  <c r="H41" i="9" s="1"/>
  <c r="G40" i="9"/>
  <c r="H40" i="9" s="1"/>
  <c r="G39" i="9"/>
  <c r="H39" i="9" s="1"/>
  <c r="G38" i="9"/>
  <c r="H38" i="9" s="1"/>
  <c r="G37" i="9"/>
  <c r="H37" i="9" s="1"/>
  <c r="G36" i="9"/>
  <c r="H36" i="9" s="1"/>
  <c r="G35" i="9"/>
  <c r="H35" i="9" s="1"/>
  <c r="G34" i="9"/>
  <c r="H34" i="9" s="1"/>
  <c r="G33" i="9"/>
  <c r="H33" i="9" s="1"/>
  <c r="G32" i="9"/>
  <c r="H32" i="9" s="1"/>
  <c r="G28" i="9"/>
  <c r="H28" i="9" s="1"/>
  <c r="G27" i="9"/>
  <c r="H27" i="9" s="1"/>
  <c r="G26" i="9"/>
  <c r="H26" i="9" s="1"/>
  <c r="G25" i="9"/>
  <c r="H25" i="9" s="1"/>
  <c r="G24" i="9"/>
  <c r="H24" i="9" s="1"/>
  <c r="G23" i="9"/>
  <c r="H23" i="9" s="1"/>
  <c r="G22" i="9"/>
  <c r="H22" i="9" s="1"/>
  <c r="G21" i="9"/>
  <c r="H21" i="9" s="1"/>
  <c r="G20" i="9"/>
  <c r="H20" i="9" s="1"/>
  <c r="G19" i="9"/>
  <c r="H19" i="9" s="1"/>
  <c r="G18" i="9"/>
  <c r="H18" i="9" s="1"/>
  <c r="G17" i="9"/>
  <c r="H17" i="9" s="1"/>
  <c r="G16" i="9"/>
  <c r="H16" i="9" s="1"/>
  <c r="G15" i="9"/>
  <c r="H15" i="9" s="1"/>
  <c r="G14" i="9"/>
  <c r="H14" i="9" s="1"/>
  <c r="G13" i="9"/>
  <c r="H13" i="9" s="1"/>
  <c r="G8" i="9"/>
  <c r="H8" i="9" s="1"/>
  <c r="G7" i="9"/>
  <c r="H7" i="9" s="1"/>
  <c r="G6" i="9"/>
  <c r="H6" i="9" s="1"/>
  <c r="G7" i="8"/>
  <c r="H10" i="8"/>
  <c r="G10" i="8"/>
  <c r="H9" i="8"/>
  <c r="G9" i="8"/>
  <c r="G8" i="8"/>
  <c r="H8" i="8" s="1"/>
  <c r="H7" i="8"/>
  <c r="H12" i="7"/>
  <c r="I12" i="7" s="1"/>
  <c r="C10" i="7"/>
  <c r="H18" i="7"/>
  <c r="I18" i="7" s="1"/>
  <c r="H17" i="7"/>
  <c r="I17" i="7" s="1"/>
  <c r="H16" i="7"/>
  <c r="I16" i="7" s="1"/>
  <c r="H15" i="7"/>
  <c r="I15" i="7" s="1"/>
  <c r="H14" i="7"/>
  <c r="I14" i="7" s="1"/>
  <c r="H13" i="7"/>
  <c r="I13" i="7" s="1"/>
  <c r="F6" i="7"/>
  <c r="F137" i="1"/>
  <c r="G137" i="1" s="1"/>
  <c r="F138" i="1"/>
  <c r="G138" i="1" s="1"/>
  <c r="F136" i="1"/>
  <c r="G136" i="1" s="1"/>
  <c r="E24" i="5"/>
  <c r="E23" i="5"/>
  <c r="E22" i="5"/>
  <c r="E21" i="5"/>
  <c r="E20" i="5"/>
  <c r="E19" i="5"/>
  <c r="E18" i="5"/>
  <c r="E17" i="5"/>
  <c r="E16" i="5"/>
  <c r="E15" i="5"/>
  <c r="E14" i="5"/>
  <c r="E13" i="5"/>
  <c r="E12" i="5"/>
  <c r="E11" i="5"/>
  <c r="H9" i="5"/>
  <c r="G9" i="5"/>
  <c r="H32" i="4"/>
  <c r="J31" i="4"/>
  <c r="H29" i="4"/>
  <c r="H28" i="4"/>
  <c r="I27" i="4"/>
  <c r="K15" i="3"/>
  <c r="D9" i="4" s="1"/>
  <c r="I33" i="4" s="1"/>
  <c r="J8" i="2"/>
  <c r="H106" i="1"/>
  <c r="G106" i="1"/>
  <c r="E107" i="1"/>
  <c r="H107" i="1" s="1"/>
  <c r="H108" i="1" s="1"/>
  <c r="E108" i="1"/>
  <c r="E109" i="1"/>
  <c r="E110" i="1"/>
  <c r="E111" i="1"/>
  <c r="E112" i="1"/>
  <c r="E113" i="1"/>
  <c r="E114" i="1"/>
  <c r="E115" i="1"/>
  <c r="E116" i="1"/>
  <c r="E117" i="1"/>
  <c r="E118" i="1"/>
  <c r="E119" i="1"/>
  <c r="E120" i="1"/>
  <c r="E121" i="1"/>
  <c r="E106" i="1"/>
  <c r="H11" i="5" l="1"/>
  <c r="H12" i="5" s="1"/>
  <c r="H19" i="7"/>
  <c r="H13" i="5"/>
  <c r="H14" i="5" s="1"/>
  <c r="H15" i="5" s="1"/>
  <c r="H16" i="5" s="1"/>
  <c r="H17" i="5" s="1"/>
  <c r="H18" i="5" s="1"/>
  <c r="H19" i="5" s="1"/>
  <c r="H20" i="5" s="1"/>
  <c r="H21" i="5" s="1"/>
  <c r="H22" i="5" s="1"/>
  <c r="H23" i="5" s="1"/>
  <c r="H24" i="5" s="1"/>
  <c r="H109" i="1"/>
  <c r="H110" i="1" s="1"/>
  <c r="H111" i="1" s="1"/>
  <c r="H112" i="1" s="1"/>
  <c r="H113" i="1" s="1"/>
  <c r="H114" i="1" s="1"/>
  <c r="H115" i="1" s="1"/>
  <c r="H116" i="1" s="1"/>
  <c r="H117" i="1" s="1"/>
  <c r="H118" i="1" s="1"/>
  <c r="H119" i="1" s="1"/>
  <c r="H120" i="1" s="1"/>
  <c r="H121" i="1" s="1"/>
</calcChain>
</file>

<file path=xl/sharedStrings.xml><?xml version="1.0" encoding="utf-8"?>
<sst xmlns="http://schemas.openxmlformats.org/spreadsheetml/2006/main" count="406" uniqueCount="266">
  <si>
    <t>D : dotation journalière, c’est la consommation moyenne journalière par habitant. La dotation est de 180 l/j/hab.</t>
  </si>
  <si>
    <t>pf pop  2044</t>
  </si>
  <si>
    <t>Débit maximal journalier</t>
  </si>
  <si>
    <t xml:space="preserve"> coefficient de pointe journalière (facteur de pointe journalier)</t>
  </si>
  <si>
    <t>Où :</t>
  </si>
  <si>
    <t>Qmaxj</t>
  </si>
  <si>
    <t>m3/j</t>
  </si>
  <si>
    <t>Le débit moyen horaire est donné par la formule suivante : Qmoyh =Qmoyj/24 (m3/h)</t>
  </si>
  <si>
    <t>Qmoyh</t>
  </si>
  <si>
    <t>FPh=αmax*βmax</t>
  </si>
  <si>
    <t>𝑄𝑚axℎ = 𝑄𝑚oyℎ ∗ 𝐹Pℎ</t>
  </si>
  <si>
    <t>100000 =&gt; 1,15</t>
  </si>
  <si>
    <t>50000 =&gt; 1,2</t>
  </si>
  <si>
    <t>FPH = 1,5 ∗ 1,2 = 1,8</t>
  </si>
  <si>
    <t xml:space="preserve">horaire </t>
  </si>
  <si>
    <t xml:space="preserve">consommation totale Qmaxj=13469.90m^3/j </t>
  </si>
  <si>
    <t>consommation cumulé</t>
  </si>
  <si>
    <t xml:space="preserve">(h) </t>
  </si>
  <si>
    <t xml:space="preserve">kh (%) </t>
  </si>
  <si>
    <t xml:space="preserve">Q (m^3/h) </t>
  </si>
  <si>
    <t xml:space="preserve">V (m^3) </t>
  </si>
  <si>
    <t>V (m^3)</t>
  </si>
  <si>
    <t xml:space="preserve">0-1 </t>
  </si>
  <si>
    <t xml:space="preserve">13-14 </t>
  </si>
  <si>
    <t xml:space="preserve">14-15 </t>
  </si>
  <si>
    <t xml:space="preserve">15-16 </t>
  </si>
  <si>
    <t>v cumulé</t>
  </si>
  <si>
    <t xml:space="preserve">16-17 </t>
  </si>
  <si>
    <t xml:space="preserve">17-18 </t>
  </si>
  <si>
    <t xml:space="preserve">18-19 </t>
  </si>
  <si>
    <t xml:space="preserve">19-20 </t>
  </si>
  <si>
    <t xml:space="preserve">20-21 </t>
  </si>
  <si>
    <t xml:space="preserve">21-22 </t>
  </si>
  <si>
    <t xml:space="preserve">22-23 </t>
  </si>
  <si>
    <t xml:space="preserve">total </t>
  </si>
  <si>
    <t>1-2</t>
  </si>
  <si>
    <t>23-00</t>
  </si>
  <si>
    <t>2-3</t>
  </si>
  <si>
    <t>4-5</t>
  </si>
  <si>
    <t>5-6</t>
  </si>
  <si>
    <t>6-7</t>
  </si>
  <si>
    <t>7-8</t>
  </si>
  <si>
    <t>8-9</t>
  </si>
  <si>
    <t>9-10</t>
  </si>
  <si>
    <t>10-11</t>
  </si>
  <si>
    <t>11-12</t>
  </si>
  <si>
    <t>12-13</t>
  </si>
  <si>
    <t>3-4</t>
  </si>
  <si>
    <t xml:space="preserve">désignation </t>
  </si>
  <si>
    <t>Nbr d'élève</t>
  </si>
  <si>
    <t xml:space="preserve">dotation (l/unité/j) </t>
  </si>
  <si>
    <t>unité</t>
  </si>
  <si>
    <r>
      <t>besoins (m</t>
    </r>
    <r>
      <rPr>
        <b/>
        <sz val="8"/>
        <color rgb="FF000000"/>
        <rFont val="Arial-BoldMT"/>
      </rPr>
      <t>3</t>
    </r>
    <r>
      <rPr>
        <b/>
        <sz val="12"/>
        <color rgb="FF000000"/>
        <rFont val="Arial-BoldMT"/>
      </rPr>
      <t xml:space="preserve">/j) </t>
    </r>
  </si>
  <si>
    <r>
      <t>besoins (m</t>
    </r>
    <r>
      <rPr>
        <b/>
        <sz val="8"/>
        <color rgb="FF000000"/>
        <rFont val="Arial-BoldMT"/>
      </rPr>
      <t>3</t>
    </r>
    <r>
      <rPr>
        <b/>
        <sz val="12"/>
        <color rgb="FF000000"/>
        <rFont val="Arial-BoldMT"/>
      </rPr>
      <t>/h)</t>
    </r>
  </si>
  <si>
    <t xml:space="preserve">10 écoles </t>
  </si>
  <si>
    <t xml:space="preserve">élève </t>
  </si>
  <si>
    <t xml:space="preserve">3 CEM </t>
  </si>
  <si>
    <t xml:space="preserve">3 lycées </t>
  </si>
  <si>
    <t>Tableau.8 : Repartition d’établissements scolaire par élève et par bésoins</t>
  </si>
  <si>
    <t>une dotation de 10 litres par élèves et par jour pour les écoles primaires et 20 litres par eleve et par jour pour les CEM et les lycées. Les differents resultats sont regroupés dans (le tableau.8 ci-dessous).</t>
  </si>
  <si>
    <t>Equipements éducatif</t>
  </si>
  <si>
    <t>l/j</t>
  </si>
  <si>
    <t>Nbr/surface</t>
  </si>
  <si>
    <t xml:space="preserve">2 stades </t>
  </si>
  <si>
    <t xml:space="preserve">stade </t>
  </si>
  <si>
    <t xml:space="preserve">terrain de foot </t>
  </si>
  <si>
    <t xml:space="preserve">m² </t>
  </si>
  <si>
    <t xml:space="preserve">salle omnisport </t>
  </si>
  <si>
    <t xml:space="preserve">salle </t>
  </si>
  <si>
    <t xml:space="preserve">terrain de jeux </t>
  </si>
  <si>
    <t xml:space="preserve">5 aires de jeux </t>
  </si>
  <si>
    <t xml:space="preserve">terrain de sport </t>
  </si>
  <si>
    <t xml:space="preserve">2 terrains matico </t>
  </si>
  <si>
    <t xml:space="preserve">l'estimation des besoins a été faite par une dotation de 15 litres par patient et par jour, </t>
  </si>
  <si>
    <t>surface/nbr</t>
  </si>
  <si>
    <t xml:space="preserve">polyclinique </t>
  </si>
  <si>
    <t xml:space="preserve">patient </t>
  </si>
  <si>
    <t xml:space="preserve">salle de soins </t>
  </si>
  <si>
    <t xml:space="preserve">centre de santé </t>
  </si>
  <si>
    <t xml:space="preserve">3 centres de soins (PMI) </t>
  </si>
  <si>
    <t>Tableau.10 : Repartition d’établissements sanitaire par patient et par bésoins</t>
  </si>
  <si>
    <t xml:space="preserve">touristique/loisir </t>
  </si>
  <si>
    <t xml:space="preserve">surface/nbr </t>
  </si>
  <si>
    <t xml:space="preserve">dotation </t>
  </si>
  <si>
    <t xml:space="preserve">unité </t>
  </si>
  <si>
    <t xml:space="preserve">hôtel </t>
  </si>
  <si>
    <t xml:space="preserve">Park d'attraction </t>
  </si>
  <si>
    <t xml:space="preserve">cinéma </t>
  </si>
  <si>
    <t xml:space="preserve">garde communal </t>
  </si>
  <si>
    <t xml:space="preserve">garde </t>
  </si>
  <si>
    <t xml:space="preserve">2 gendarmeries </t>
  </si>
  <si>
    <t xml:space="preserve">gendarme </t>
  </si>
  <si>
    <t xml:space="preserve">ex-tribunal </t>
  </si>
  <si>
    <t xml:space="preserve">palais de justice </t>
  </si>
  <si>
    <t xml:space="preserve">centre administrative </t>
  </si>
  <si>
    <t xml:space="preserve">protection civil </t>
  </si>
  <si>
    <t xml:space="preserve">EDGA </t>
  </si>
  <si>
    <t xml:space="preserve">sureté daïra </t>
  </si>
  <si>
    <t xml:space="preserve">agent </t>
  </si>
  <si>
    <t xml:space="preserve">hôtel de finance </t>
  </si>
  <si>
    <t xml:space="preserve">2 EPEA </t>
  </si>
  <si>
    <t xml:space="preserve">SUC </t>
  </si>
  <si>
    <t xml:space="preserve">direction ORLAIT </t>
  </si>
  <si>
    <t xml:space="preserve">2 APC </t>
  </si>
  <si>
    <t xml:space="preserve">DAIRA </t>
  </si>
  <si>
    <t xml:space="preserve">caisse sécurité sociale </t>
  </si>
  <si>
    <t xml:space="preserve">centre de rééducation </t>
  </si>
  <si>
    <t xml:space="preserve">détenu </t>
  </si>
  <si>
    <t xml:space="preserve">jardin d'enfant </t>
  </si>
  <si>
    <t xml:space="preserve">enfant </t>
  </si>
  <si>
    <t xml:space="preserve">5 mosquées </t>
  </si>
  <si>
    <t xml:space="preserve">fidèle </t>
  </si>
  <si>
    <t xml:space="preserve">6 réserves d'équipement </t>
  </si>
  <si>
    <t xml:space="preserve">maison de jeune </t>
  </si>
  <si>
    <t xml:space="preserve">Park à étage </t>
  </si>
  <si>
    <t xml:space="preserve">2 parkings </t>
  </si>
  <si>
    <t xml:space="preserve">équipement de consommation </t>
  </si>
  <si>
    <t xml:space="preserve">cimetière </t>
  </si>
  <si>
    <t xml:space="preserve">O.A.I.C </t>
  </si>
  <si>
    <t xml:space="preserve">SILOS </t>
  </si>
  <si>
    <t xml:space="preserve">stock légume </t>
  </si>
  <si>
    <t xml:space="preserve">PTT </t>
  </si>
  <si>
    <t xml:space="preserve">siège PTT </t>
  </si>
  <si>
    <t xml:space="preserve">banque Badr </t>
  </si>
  <si>
    <t xml:space="preserve">sonelgaz </t>
  </si>
  <si>
    <t xml:space="preserve">Park sonelgaz </t>
  </si>
  <si>
    <t xml:space="preserve">2 centres commerciaux </t>
  </si>
  <si>
    <t xml:space="preserve">station d'essence </t>
  </si>
  <si>
    <t xml:space="preserve">client </t>
  </si>
  <si>
    <t xml:space="preserve">projet relai routier </t>
  </si>
  <si>
    <t xml:space="preserve">station électrique </t>
  </si>
  <si>
    <t xml:space="preserve">central électrique </t>
  </si>
  <si>
    <t xml:space="preserve">Park ANGOA </t>
  </si>
  <si>
    <t xml:space="preserve">cantine </t>
  </si>
  <si>
    <t xml:space="preserve">repas </t>
  </si>
  <si>
    <t xml:space="preserve">central à béton </t>
  </si>
  <si>
    <t xml:space="preserve">m^3 </t>
  </si>
  <si>
    <t xml:space="preserve">boutique </t>
  </si>
  <si>
    <t>Récapitulatif des besoins</t>
  </si>
  <si>
    <t xml:space="preserve">Désignation </t>
  </si>
  <si>
    <t xml:space="preserve">domestique </t>
  </si>
  <si>
    <t xml:space="preserve">scolaire </t>
  </si>
  <si>
    <t xml:space="preserve">sportif </t>
  </si>
  <si>
    <t xml:space="preserve">sanitaire </t>
  </si>
  <si>
    <t xml:space="preserve">touristique </t>
  </si>
  <si>
    <t xml:space="preserve">administrative </t>
  </si>
  <si>
    <t xml:space="preserve">public </t>
  </si>
  <si>
    <t xml:space="preserve">commercial </t>
  </si>
  <si>
    <t>Qtotal = 1034,13 m3/h</t>
  </si>
  <si>
    <t>Les différentes composantes des pertes d’eau sur un réseau d’AEP sont :</t>
  </si>
  <si>
    <t>robinet de prise, vannes, ventouse,…).</t>
  </si>
  <si>
    <t>Le volume de ces pertes dépend de :</t>
  </si>
  <si>
    <t>humain, moyens matériel, appareils de détection de fuites, rapidité</t>
  </si>
  <si>
    <t>d’intervention pour répation).</t>
  </si>
  <si>
    <t>KP =</t>
  </si>
  <si>
    <t>Soit :</t>
  </si>
  <si>
    <t>KP = 1,5 pour un réseau vétuste ou mal entretenu.</t>
  </si>
  <si>
    <t>Qp = 1240,96 m3/h Qp = 344,71 l/s</t>
  </si>
  <si>
    <t>Pf : nombre de population future Pf=55727,8 hab</t>
  </si>
  <si>
    <t xml:space="preserve"> volume consommé pendant la journée la plus chargée de l’année (généralement enregistré en Juillet ou en Août), ou bien pendant l’AID EL KEBIR.</t>
  </si>
  <si>
    <t>Qmaxj :</t>
  </si>
  <si>
    <t>Qmoyj :</t>
  </si>
  <si>
    <t xml:space="preserve"> consommation journalière moyenne.</t>
  </si>
  <si>
    <t xml:space="preserve"> facteur de pointe journalier</t>
  </si>
  <si>
    <t xml:space="preserve"> FPj :</t>
  </si>
  <si>
    <t>Qmoyh :</t>
  </si>
  <si>
    <t>On prend αmax =1.5</t>
  </si>
  <si>
    <t xml:space="preserve"> est le volume maximal horaire consommé au cours de la journée la plus chargée de l’année.</t>
  </si>
  <si>
    <t>Qmaxh :</t>
  </si>
  <si>
    <t xml:space="preserve">Qmoyh </t>
  </si>
  <si>
    <t>FPh</t>
  </si>
  <si>
    <t xml:space="preserve"> varie entre 1,2 et 1,6</t>
  </si>
  <si>
    <t>αmax</t>
  </si>
  <si>
    <t>β</t>
  </si>
  <si>
    <t xml:space="preserve">100000-50000=50000 =&gt; </t>
  </si>
  <si>
    <t xml:space="preserve">1,15-1,2=-0,05 </t>
  </si>
  <si>
    <t>pop future</t>
  </si>
  <si>
    <t>Alors βmax=</t>
  </si>
  <si>
    <t>Q MAX H</t>
  </si>
  <si>
    <t xml:space="preserve"> débit moyen horaire en m3/h </t>
  </si>
  <si>
    <t xml:space="preserve">Qmaxj : </t>
  </si>
  <si>
    <t>débit maximum journalier en m3/j</t>
  </si>
  <si>
    <t xml:space="preserve">besoins (m3/j) </t>
  </si>
  <si>
    <t>besoins (m3/h)</t>
  </si>
  <si>
    <t>besoins (m3/j)</t>
  </si>
  <si>
    <r>
      <rPr>
        <b/>
        <sz val="24"/>
        <color rgb="FF000000"/>
        <rFont val="ArialMT"/>
      </rPr>
      <t>300</t>
    </r>
    <r>
      <rPr>
        <sz val="24"/>
        <color rgb="FF000000"/>
        <rFont val="ArialMT"/>
      </rPr>
      <t xml:space="preserve"> </t>
    </r>
    <r>
      <rPr>
        <b/>
        <sz val="24"/>
        <color rgb="FF000000"/>
        <rFont val="ArialMT"/>
      </rPr>
      <t>litres</t>
    </r>
    <r>
      <rPr>
        <sz val="24"/>
        <color rgb="FF000000"/>
        <rFont val="ArialMT"/>
      </rPr>
      <t xml:space="preserve"> par chambre et par jour pour l’hôtel, et </t>
    </r>
    <r>
      <rPr>
        <b/>
        <sz val="24"/>
        <color rgb="FF000000"/>
        <rFont val="ArialMT"/>
      </rPr>
      <t>4 litres</t>
    </r>
    <r>
      <rPr>
        <sz val="24"/>
        <color rgb="FF000000"/>
        <rFont val="ArialMT"/>
      </rPr>
      <t xml:space="preserve"> par mètre carré et par jour pour la salle de cinéma et la Park d’attraction. Les différents résultats sont regroupes dans (le tableau.11 ci-dessous).</t>
    </r>
  </si>
  <si>
    <r>
      <t xml:space="preserve">• </t>
    </r>
    <r>
      <rPr>
        <sz val="24"/>
        <color rgb="FF000000"/>
        <rFont val="ArialMT"/>
      </rPr>
      <t>Volumes détournés.</t>
    </r>
  </si>
  <si>
    <r>
      <t xml:space="preserve">• </t>
    </r>
    <r>
      <rPr>
        <sz val="24"/>
        <color rgb="FF000000"/>
        <rFont val="ArialMT"/>
      </rPr>
      <t>Volumes défaut de comptage.</t>
    </r>
  </si>
  <si>
    <r>
      <t xml:space="preserve">• </t>
    </r>
    <r>
      <rPr>
        <sz val="24"/>
        <color rgb="FF000000"/>
        <rFont val="ArialMT"/>
      </rPr>
      <t>Volumes des fuites (fuites dans le réseau de distribution : branchements,</t>
    </r>
  </si>
  <si>
    <r>
      <t xml:space="preserve">• </t>
    </r>
    <r>
      <rPr>
        <sz val="24"/>
        <color rgb="FF000000"/>
        <rFont val="ArialMT"/>
      </rPr>
      <t>Eau de lavage et de nettoyage.</t>
    </r>
  </si>
  <si>
    <r>
      <t xml:space="preserve">• </t>
    </r>
    <r>
      <rPr>
        <sz val="24"/>
        <color rgb="FF000000"/>
        <rFont val="ArialMT"/>
      </rPr>
      <t>Eau de vidange (cas de casse de conduite, travaux, raccordement,…).</t>
    </r>
  </si>
  <si>
    <r>
      <t xml:space="preserve">• </t>
    </r>
    <r>
      <rPr>
        <sz val="24"/>
        <color rgb="FF000000"/>
        <rFont val="ArialMT"/>
      </rPr>
      <t>La nature des conduites.</t>
    </r>
  </si>
  <si>
    <r>
      <t xml:space="preserve">• </t>
    </r>
    <r>
      <rPr>
        <sz val="24"/>
        <color rgb="FF000000"/>
        <rFont val="ArialMT"/>
      </rPr>
      <t>L’âge et l’état du réseau.</t>
    </r>
  </si>
  <si>
    <r>
      <t xml:space="preserve">• </t>
    </r>
    <r>
      <rPr>
        <sz val="24"/>
        <color rgb="FF000000"/>
        <rFont val="ArialMT"/>
      </rPr>
      <t>La compétence et l’efficacité du service de maintenance du réseau (moyens</t>
    </r>
  </si>
  <si>
    <t>Pour tenir compte de ces pertes, on définit le coefficient de perte KP comme suit :</t>
  </si>
  <si>
    <t>La valeur de KP varie de 1,2 à 1 ,5.</t>
  </si>
  <si>
    <t>KP = 1,2 pour un réseau neuf ou bien entretenu.</t>
  </si>
  <si>
    <t xml:space="preserve">KP = 1,25 à 1,35 pour un réseau moyennement entretenu. </t>
  </si>
  <si>
    <r>
      <t>Qp = KP*Qtotal= 1,2*1034,13=</t>
    </r>
    <r>
      <rPr>
        <b/>
        <sz val="24"/>
        <color rgb="FFFF0000"/>
        <rFont val="ArialMT"/>
      </rPr>
      <t>1240,956</t>
    </r>
    <r>
      <rPr>
        <sz val="24"/>
        <color rgb="FF000000"/>
        <rFont val="ArialMT"/>
      </rPr>
      <t xml:space="preserve"> =&gt;</t>
    </r>
  </si>
  <si>
    <t>cham</t>
  </si>
  <si>
    <t xml:space="preserve">dotat(l/unité/j) </t>
  </si>
  <si>
    <t xml:space="preserve">dota (l/unit/j) </t>
  </si>
  <si>
    <t xml:space="preserve">dota (l/uni/j) </t>
  </si>
  <si>
    <t xml:space="preserve"> les besoins totaux en eau de l’agglomération sont :</t>
  </si>
  <si>
    <t>Pf=Po (1+t/100) n</t>
  </si>
  <si>
    <t>1 ,4% (Donnée issue de sources publiques ; ons DPAT etc)</t>
  </si>
  <si>
    <t>Pour un stade traditionnel: 1 terrain de sport principal ; une série de 12 ou 24douches : 3000m3/an</t>
  </si>
  <si>
    <t xml:space="preserve"> 1/ PROJECTION DEMOGRAPHIQUE </t>
  </si>
  <si>
    <t xml:space="preserve">FORMULE CALCUL PROJECTION DE LAPOPULATION DANS UNE AGGLOMERATION </t>
  </si>
  <si>
    <t>population actuelle Po =37758 hab.</t>
  </si>
  <si>
    <t>taux d’accroissement de la population</t>
  </si>
  <si>
    <t>Pf</t>
  </si>
  <si>
    <t xml:space="preserve">PO </t>
  </si>
  <si>
    <t>T</t>
  </si>
  <si>
    <t>population future 2044</t>
  </si>
  <si>
    <t>N</t>
  </si>
  <si>
    <t>différence en année entre pf et po 28</t>
  </si>
  <si>
    <t xml:space="preserve">2/ La consommation domestique </t>
  </si>
  <si>
    <t>la consommation domestique est égale à la dotation journalière par le nombre de la population total</t>
  </si>
  <si>
    <t xml:space="preserve">Qmoy l/j : débit moyen journalier </t>
  </si>
  <si>
    <t>Qmoy l/j</t>
  </si>
  <si>
    <t>D’où ; Qmaxj= Qmoyj*FPj</t>
  </si>
  <si>
    <t xml:space="preserve"> FPj</t>
  </si>
  <si>
    <t>=1,4 ;</t>
  </si>
  <si>
    <t>Qmaxj= 10031∗ 1,4 = 114043 𝑚3/J</t>
  </si>
  <si>
    <t>(14043,4/24)</t>
  </si>
  <si>
    <t>=</t>
  </si>
  <si>
    <t>4/ Débit moyen horaire</t>
  </si>
  <si>
    <t>(55727,8*180/1000)</t>
  </si>
  <si>
    <r>
      <t xml:space="preserve">La valeur de ce facteur est déterminée à partir des statistiques sur la variation journalière de la consommation, sur 365 jours de l’année. Ce </t>
    </r>
    <r>
      <rPr>
        <b/>
        <sz val="12"/>
        <color rgb="FF000000"/>
        <rFont val="ADLaM Display"/>
      </rPr>
      <t>coefficient varie de 1,3 à 1,9</t>
    </r>
    <r>
      <rPr>
        <sz val="12"/>
        <color rgb="FF000000"/>
        <rFont val="ADLaM Display"/>
      </rPr>
      <t xml:space="preserve"> selon le climat et les activités estivales de l’agglomération</t>
    </r>
  </si>
  <si>
    <t>5/ Débit maximal horaire</t>
  </si>
  <si>
    <t xml:space="preserve">: est la consommation horaire moyenne pendant la même journée. </t>
  </si>
  <si>
    <t>facteur de pointe horaire appelé aussi coefficient de pointe horaire est alors défini par la relation suivante : FPh=αmax*βmax</t>
  </si>
  <si>
    <t xml:space="preserve"> dépend du nombre d’habitants d représentés dans le (tableau) suivant :</t>
  </si>
  <si>
    <t xml:space="preserve"> 55727,8 hab</t>
  </si>
  <si>
    <t>dans ce cas le nombre de la population est compris entre 50000 et 100000 hab, par interpolation linéaire on aura :</t>
  </si>
  <si>
    <t>55727,8 =&gt; βmax</t>
  </si>
  <si>
    <t xml:space="preserve"> (-0,05*5728/50000) +1,2=1.196 βmax=1,2</t>
  </si>
  <si>
    <t>55727,8 -50000=5728 =&gt; βmax  1,2</t>
  </si>
  <si>
    <t>𝑄𝑚axℎ m3= (585,14*1,8)</t>
  </si>
  <si>
    <t>m3/h</t>
  </si>
  <si>
    <t>La variation des débits horaires est exprimée en pourcentage du débit maximal journalier de l’agglomération.</t>
  </si>
  <si>
    <t>6/ variation des débits quotidiens  horaire de la ville</t>
  </si>
  <si>
    <t>Le débit horaire d’une agglomération est variable tout au long du jour selon l’importance de cette dernière. Cette variation est déterminée en fonction du facteur de variation de débit qui est aussi appelé coefficient de variation horaire (kh), (voir  tableau). Pour les équipements, le coefficient de variation horaire est égal à 1.</t>
  </si>
  <si>
    <t>(13469,6*0,9)/100</t>
  </si>
  <si>
    <t>(13469,6*0,9)/101</t>
  </si>
  <si>
    <t>(13469,6*0,9)/102</t>
  </si>
  <si>
    <t>V (m^3) %</t>
  </si>
  <si>
    <t>13469,6*1,8)/100</t>
  </si>
  <si>
    <t>13469,6*0,9)/100</t>
  </si>
  <si>
    <t>exemple de calcule   tranche horaire</t>
  </si>
  <si>
    <t>13469,6*2,7)/100</t>
  </si>
  <si>
    <t>7/ Equipements éducatif</t>
  </si>
  <si>
    <t>8/ Etablissements sanitaires</t>
  </si>
  <si>
    <t>9 /Equipements sportifs</t>
  </si>
  <si>
    <t>Pour une salle multisport classique (salle omnisport), avec terrain type basket, vestiaire avec des douches, sanitaires : 800 m3/an</t>
  </si>
  <si>
    <t>10 / Equipement touristique et de loisirs</t>
  </si>
  <si>
    <t>11/ Etablissements administratives et publiques</t>
  </si>
  <si>
    <t>suite</t>
  </si>
  <si>
    <t>12/ Etablissements commerciaux</t>
  </si>
  <si>
    <t xml:space="preserve">Les demandes en eau ont été estimées par nombre ou par surface à 4 litres par mètre carré et par surface, </t>
  </si>
  <si>
    <t>13 / Les pertes</t>
  </si>
  <si>
    <t>Pour cet exemple extrait du mémoire sur l'alimentation en eau de ville d'elhadjar  KP est = 1,2. soit un réseau bien entretenu</t>
  </si>
  <si>
    <t>14/  Débit de pointe</t>
  </si>
  <si>
    <t>(1240,96*1000)/3600</t>
  </si>
  <si>
    <t>Le débit de point ou le débit de dimensionnement des ouvrages d’adduction (station de pompage, station de traitement, réservoirs, conduites d’adduction…) est égal à la somme des débits des besoins et de fuite.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</si>
</sst>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font>
      <sz val="11"/>
      <color theme="1"/>
      <name val="Calibri"/>
      <family val="2"/>
      <scheme val="minor"/>
    </font>
    <font>
      <sz val="12"/>
      <color rgb="FF000000"/>
      <name val="ArialMT"/>
    </font>
    <font>
      <sz val="12"/>
      <color rgb="FF000000"/>
      <name val="CambriaMath"/>
    </font>
    <font>
      <sz val="9"/>
      <color rgb="FF000000"/>
      <name val="CambriaMath"/>
    </font>
    <font>
      <b/>
      <sz val="12"/>
      <color rgb="FF000000"/>
      <name val="Arial-BoldMT"/>
    </font>
    <font>
      <b/>
      <sz val="8"/>
      <color rgb="FF000000"/>
      <name val="Arial-BoldMT"/>
    </font>
    <font>
      <b/>
      <sz val="24"/>
      <color theme="1"/>
      <name val="Calibri"/>
      <family val="2"/>
      <scheme val="minor"/>
    </font>
    <font>
      <sz val="24"/>
      <color theme="1"/>
      <name val="Calibri"/>
      <family val="2"/>
      <scheme val="minor"/>
    </font>
    <font>
      <b/>
      <sz val="24"/>
      <color rgb="FF000000"/>
      <name val="CambriaMath"/>
    </font>
    <font>
      <b/>
      <sz val="12"/>
      <color rgb="FF000000"/>
      <name val="CambriaMath"/>
    </font>
    <font>
      <sz val="8"/>
      <name val="Calibri"/>
      <family val="2"/>
      <scheme val="minor"/>
    </font>
    <font>
      <i/>
      <sz val="11"/>
      <color rgb="FF000000"/>
      <name val="Arial-ItalicMT"/>
    </font>
    <font>
      <b/>
      <sz val="14"/>
      <color theme="1"/>
      <name val="Calibri"/>
      <family val="2"/>
      <scheme val="minor"/>
    </font>
    <font>
      <b/>
      <sz val="24"/>
      <color rgb="FF000000"/>
      <name val="Arial-BoldMT"/>
    </font>
    <font>
      <sz val="24"/>
      <color rgb="FF000000"/>
      <name val="ArialMT"/>
    </font>
    <font>
      <sz val="11"/>
      <color theme="1"/>
      <name val="Calibri"/>
      <family val="2"/>
      <scheme val="minor"/>
    </font>
    <font>
      <b/>
      <sz val="24"/>
      <color rgb="FF000000"/>
      <name val="ADLaM Display"/>
    </font>
    <font>
      <b/>
      <sz val="24"/>
      <color rgb="FF000000"/>
      <name val="ArialMT"/>
    </font>
    <font>
      <sz val="24"/>
      <color rgb="FF000000"/>
      <name val="CambriaMath"/>
    </font>
    <font>
      <sz val="24"/>
      <color theme="1"/>
      <name val="ADLaM Display"/>
    </font>
    <font>
      <sz val="24"/>
      <color rgb="FF000000"/>
      <name val="ADLaM Display"/>
    </font>
    <font>
      <b/>
      <sz val="24"/>
      <color theme="1"/>
      <name val="ADLaM Display"/>
    </font>
    <font>
      <sz val="22"/>
      <color rgb="FF000000"/>
      <name val="ArialMT"/>
    </font>
    <font>
      <sz val="22"/>
      <color theme="1"/>
      <name val="Calibri"/>
      <family val="2"/>
      <scheme val="minor"/>
    </font>
    <font>
      <b/>
      <sz val="22"/>
      <color rgb="FF000000"/>
      <name val="Arial-BoldMT"/>
    </font>
    <font>
      <i/>
      <sz val="24"/>
      <color rgb="FF000000"/>
      <name val="ADLaM Display"/>
    </font>
    <font>
      <i/>
      <sz val="24"/>
      <color rgb="FF000000"/>
      <name val="Arial-ItalicMT"/>
    </font>
    <font>
      <sz val="24"/>
      <color rgb="FF000000"/>
      <name val="SymbolMT"/>
    </font>
    <font>
      <b/>
      <sz val="24"/>
      <color rgb="FFFF0000"/>
      <name val="ArialMT"/>
    </font>
    <font>
      <b/>
      <sz val="24"/>
      <color rgb="FFFF0000"/>
      <name val="Arial-BoldMT"/>
    </font>
    <font>
      <b/>
      <sz val="48"/>
      <color theme="1"/>
      <name val="Calibri"/>
      <family val="2"/>
      <scheme val="minor"/>
    </font>
    <font>
      <sz val="48"/>
      <color theme="1"/>
      <name val="ADLaM Display"/>
    </font>
    <font>
      <sz val="11"/>
      <color theme="1"/>
      <name val="ADLaM Display"/>
    </font>
    <font>
      <sz val="12"/>
      <color rgb="FF000000"/>
      <name val="ADLaM Display"/>
    </font>
    <font>
      <b/>
      <sz val="12"/>
      <color rgb="FF000000"/>
      <name val="ADLaM Display"/>
    </font>
    <font>
      <sz val="22"/>
      <color rgb="FF000000"/>
      <name val="ADLaM Display"/>
    </font>
    <font>
      <sz val="22"/>
      <color theme="1"/>
      <name val="ADLaM Display"/>
    </font>
    <font>
      <sz val="18"/>
      <color theme="1"/>
      <name val="Calibri"/>
      <family val="2"/>
      <scheme val="minor"/>
    </font>
    <font>
      <b/>
      <sz val="18"/>
      <color rgb="FF000000"/>
      <name val="Arial-BoldMT"/>
    </font>
    <font>
      <sz val="18"/>
      <color rgb="FF000000"/>
      <name val="ArialMT"/>
    </font>
    <font>
      <b/>
      <sz val="14"/>
      <color rgb="FF000000"/>
      <name val="Arial-BoldMT"/>
    </font>
    <font>
      <sz val="14"/>
      <color rgb="FF000000"/>
      <name val="ArialMT"/>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43" fontId="15" fillId="0" borderId="0" applyFont="0" applyFill="0" applyBorder="0" applyAlignment="0" applyProtection="0"/>
  </cellStyleXfs>
  <cellXfs count="124">
    <xf numFmtId="0" fontId="0" fillId="0" borderId="0" xfId="0"/>
    <xf numFmtId="0" fontId="1" fillId="0" borderId="0" xfId="0" applyFont="1"/>
    <xf numFmtId="0" fontId="2" fillId="0" borderId="0" xfId="0" applyFont="1"/>
    <xf numFmtId="0" fontId="2" fillId="0" borderId="0" xfId="0" applyFont="1" applyAlignment="1">
      <alignment vertical="center" wrapText="1"/>
    </xf>
    <xf numFmtId="0" fontId="1" fillId="0" borderId="0" xfId="0" applyFont="1" applyAlignment="1">
      <alignment vertical="center" wrapText="1"/>
    </xf>
    <xf numFmtId="0" fontId="4" fillId="0" borderId="0" xfId="0" applyFont="1"/>
    <xf numFmtId="0" fontId="3" fillId="0" borderId="0" xfId="0" applyFont="1"/>
    <xf numFmtId="0" fontId="0" fillId="0" borderId="0" xfId="0" applyAlignment="1">
      <alignment wrapText="1"/>
    </xf>
    <xf numFmtId="0" fontId="6" fillId="0" borderId="0" xfId="0" applyFont="1"/>
    <xf numFmtId="0" fontId="7" fillId="0" borderId="0" xfId="0" applyFont="1"/>
    <xf numFmtId="0" fontId="8" fillId="0" borderId="0" xfId="0" applyFont="1"/>
    <xf numFmtId="0" fontId="0" fillId="0" borderId="0" xfId="0" applyAlignment="1">
      <alignment vertical="center" wrapText="1"/>
    </xf>
    <xf numFmtId="0" fontId="9" fillId="0" borderId="0" xfId="0" applyFont="1" applyAlignment="1">
      <alignment horizontal="left" vertical="center"/>
    </xf>
    <xf numFmtId="0" fontId="4" fillId="0" borderId="0" xfId="0" applyFont="1" applyAlignment="1">
      <alignment vertical="center" wrapText="1"/>
    </xf>
    <xf numFmtId="16" fontId="4" fillId="0" borderId="0" xfId="0" applyNumberFormat="1" applyFont="1" applyAlignment="1">
      <alignment vertical="center" wrapText="1"/>
    </xf>
    <xf numFmtId="17" fontId="4" fillId="0" borderId="0" xfId="0" applyNumberFormat="1" applyFont="1" applyAlignment="1">
      <alignment vertical="center" wrapText="1"/>
    </xf>
    <xf numFmtId="49" fontId="4" fillId="0" borderId="0" xfId="0" applyNumberFormat="1" applyFont="1" applyAlignment="1">
      <alignment vertical="center" wrapText="1"/>
    </xf>
    <xf numFmtId="2" fontId="4" fillId="0" borderId="0" xfId="0" applyNumberFormat="1" applyFont="1" applyAlignment="1">
      <alignment vertical="center" wrapText="1"/>
    </xf>
    <xf numFmtId="0" fontId="11" fillId="0" borderId="0" xfId="0" applyFont="1"/>
    <xf numFmtId="0" fontId="12" fillId="0" borderId="0" xfId="0" applyFont="1" applyAlignment="1">
      <alignment horizontal="center" vertical="center"/>
    </xf>
    <xf numFmtId="2" fontId="12" fillId="0" borderId="0" xfId="0" applyNumberFormat="1" applyFont="1" applyAlignment="1">
      <alignment horizontal="center" vertical="center"/>
    </xf>
    <xf numFmtId="0" fontId="13" fillId="0" borderId="0" xfId="0" applyFont="1"/>
    <xf numFmtId="0" fontId="14" fillId="0" borderId="0" xfId="0" applyFont="1"/>
    <xf numFmtId="0" fontId="16" fillId="0" borderId="0" xfId="0" applyFont="1"/>
    <xf numFmtId="0" fontId="14" fillId="0" borderId="0" xfId="0" applyFont="1" applyAlignment="1">
      <alignment vertical="center" wrapText="1"/>
    </xf>
    <xf numFmtId="0" fontId="19" fillId="0" borderId="0" xfId="0" applyFont="1" applyAlignment="1">
      <alignment horizontal="center" vertical="center"/>
    </xf>
    <xf numFmtId="0" fontId="19" fillId="0" borderId="0" xfId="0" applyFont="1"/>
    <xf numFmtId="0" fontId="6" fillId="2" borderId="0" xfId="0" applyFont="1" applyFill="1"/>
    <xf numFmtId="0" fontId="6" fillId="2" borderId="0" xfId="0" applyFont="1" applyFill="1" applyAlignment="1">
      <alignment horizontal="center" vertical="center"/>
    </xf>
    <xf numFmtId="0" fontId="8" fillId="0" borderId="0" xfId="0" applyFont="1" applyAlignment="1">
      <alignment horizontal="left" vertical="center"/>
    </xf>
    <xf numFmtId="0" fontId="18" fillId="0" borderId="0" xfId="0" applyFont="1"/>
    <xf numFmtId="0" fontId="7" fillId="0" borderId="0" xfId="0" applyFont="1" applyAlignment="1">
      <alignment horizontal="center"/>
    </xf>
    <xf numFmtId="0" fontId="19" fillId="0" borderId="0" xfId="0" applyFont="1" applyAlignment="1">
      <alignment horizontal="center"/>
    </xf>
    <xf numFmtId="0" fontId="7" fillId="2" borderId="0" xfId="0" applyFont="1" applyFill="1"/>
    <xf numFmtId="0" fontId="7" fillId="2" borderId="0" xfId="0" applyFont="1" applyFill="1" applyAlignment="1">
      <alignment horizontal="center" vertical="center"/>
    </xf>
    <xf numFmtId="0" fontId="20" fillId="0" borderId="0" xfId="0" applyFont="1"/>
    <xf numFmtId="0" fontId="21" fillId="2" borderId="0" xfId="0" applyFont="1" applyFill="1" applyAlignment="1">
      <alignment horizontal="center" vertical="center"/>
    </xf>
    <xf numFmtId="0" fontId="19" fillId="2" borderId="0" xfId="0" applyFont="1" applyFill="1" applyAlignment="1">
      <alignment horizontal="center" vertical="center"/>
    </xf>
    <xf numFmtId="0" fontId="13" fillId="0" borderId="0" xfId="0" applyFont="1" applyAlignment="1">
      <alignment vertical="center" wrapText="1"/>
    </xf>
    <xf numFmtId="0" fontId="23" fillId="0" borderId="0" xfId="0" applyFont="1"/>
    <xf numFmtId="0" fontId="24" fillId="0" borderId="0" xfId="0" applyFont="1"/>
    <xf numFmtId="0" fontId="16" fillId="0" borderId="0" xfId="0" applyFont="1" applyAlignment="1">
      <alignment vertical="center" wrapText="1"/>
    </xf>
    <xf numFmtId="0" fontId="20" fillId="0" borderId="0" xfId="0" applyFont="1" applyAlignment="1">
      <alignment vertical="center" wrapText="1"/>
    </xf>
    <xf numFmtId="0" fontId="25" fillId="0" borderId="0" xfId="0" applyFont="1"/>
    <xf numFmtId="2" fontId="1" fillId="0" borderId="0" xfId="0" applyNumberFormat="1" applyFont="1" applyAlignment="1">
      <alignment vertical="center" wrapText="1"/>
    </xf>
    <xf numFmtId="0" fontId="14" fillId="0" borderId="0" xfId="0" applyFont="1" applyAlignment="1">
      <alignment horizontal="left" wrapText="1"/>
    </xf>
    <xf numFmtId="0" fontId="0" fillId="0" borderId="0" xfId="0" applyAlignment="1">
      <alignment horizontal="left" wrapText="1"/>
    </xf>
    <xf numFmtId="0" fontId="24" fillId="0" borderId="0" xfId="0" applyFont="1" applyAlignment="1">
      <alignment vertical="center" wrapText="1"/>
    </xf>
    <xf numFmtId="2" fontId="6" fillId="2" borderId="0" xfId="0" applyNumberFormat="1" applyFont="1" applyFill="1" applyAlignment="1">
      <alignment horizontal="center"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xf>
    <xf numFmtId="43" fontId="6" fillId="2" borderId="0" xfId="1" applyFont="1" applyFill="1" applyAlignment="1">
      <alignment horizontal="center" vertical="center"/>
    </xf>
    <xf numFmtId="0" fontId="20" fillId="0" borderId="0" xfId="0" applyFont="1" applyAlignment="1">
      <alignment horizontal="center" vertical="center" wrapText="1"/>
    </xf>
    <xf numFmtId="0" fontId="16" fillId="0" borderId="0" xfId="0" applyFont="1" applyAlignment="1">
      <alignment horizontal="center" vertical="center" wrapText="1"/>
    </xf>
    <xf numFmtId="0" fontId="20" fillId="0" borderId="0" xfId="0" applyFont="1" applyAlignment="1">
      <alignment horizontal="left" vertical="center" wrapText="1"/>
    </xf>
    <xf numFmtId="2" fontId="14" fillId="0" borderId="0" xfId="0" applyNumberFormat="1" applyFont="1" applyAlignment="1">
      <alignment horizontal="center" vertical="center" wrapText="1"/>
    </xf>
    <xf numFmtId="0" fontId="26" fillId="0" borderId="0" xfId="0" applyFont="1"/>
    <xf numFmtId="0" fontId="27" fillId="0" borderId="0" xfId="0" applyFont="1"/>
    <xf numFmtId="0" fontId="29" fillId="0" borderId="0" xfId="0" applyFont="1"/>
    <xf numFmtId="0" fontId="20" fillId="2" borderId="0" xfId="0" applyFont="1" applyFill="1" applyAlignment="1">
      <alignment vertical="center" wrapText="1"/>
    </xf>
    <xf numFmtId="0" fontId="20" fillId="2" borderId="0" xfId="0" applyFont="1" applyFill="1" applyAlignment="1">
      <alignment horizontal="center" vertical="center" wrapText="1"/>
    </xf>
    <xf numFmtId="2" fontId="20" fillId="2" borderId="0" xfId="0" applyNumberFormat="1" applyFont="1" applyFill="1" applyAlignment="1">
      <alignment horizontal="center" vertical="center" wrapText="1"/>
    </xf>
    <xf numFmtId="0" fontId="16" fillId="2" borderId="0" xfId="0" applyFont="1" applyFill="1" applyAlignment="1">
      <alignment vertical="center" wrapText="1"/>
    </xf>
    <xf numFmtId="0" fontId="16" fillId="2" borderId="0" xfId="0" applyFont="1" applyFill="1" applyAlignment="1">
      <alignment horizontal="center" vertical="center" wrapText="1"/>
    </xf>
    <xf numFmtId="0" fontId="22" fillId="0" borderId="0" xfId="0" applyFont="1" applyAlignment="1">
      <alignment horizontal="left" vertical="top" wrapText="1"/>
    </xf>
    <xf numFmtId="0" fontId="20" fillId="0" borderId="0" xfId="0" applyFont="1" applyAlignment="1">
      <alignment vertical="center"/>
    </xf>
    <xf numFmtId="0" fontId="30" fillId="0" borderId="0" xfId="0" applyFont="1"/>
    <xf numFmtId="0" fontId="31" fillId="0" borderId="0" xfId="0" applyFont="1"/>
    <xf numFmtId="0" fontId="14" fillId="0" borderId="0" xfId="0" applyFont="1" applyAlignment="1">
      <alignment vertical="center"/>
    </xf>
    <xf numFmtId="0" fontId="14" fillId="2" borderId="0" xfId="0" applyFont="1" applyFill="1" applyAlignment="1">
      <alignment vertical="center"/>
    </xf>
    <xf numFmtId="0" fontId="0" fillId="2" borderId="0" xfId="0" applyFill="1"/>
    <xf numFmtId="0" fontId="19" fillId="2" borderId="0" xfId="0" applyFont="1" applyFill="1"/>
    <xf numFmtId="0" fontId="32" fillId="0" borderId="0" xfId="0" applyFont="1"/>
    <xf numFmtId="0" fontId="20" fillId="2" borderId="0" xfId="0" applyFont="1" applyFill="1"/>
    <xf numFmtId="0" fontId="20" fillId="2" borderId="0" xfId="0" applyFont="1" applyFill="1" applyAlignment="1">
      <alignment vertical="center"/>
    </xf>
    <xf numFmtId="0" fontId="32" fillId="2" borderId="0" xfId="0" applyFont="1" applyFill="1"/>
    <xf numFmtId="0" fontId="0" fillId="0" borderId="0" xfId="0" applyAlignment="1">
      <alignment vertical="center"/>
    </xf>
    <xf numFmtId="0" fontId="7" fillId="0" borderId="0" xfId="0" applyFont="1" applyAlignment="1">
      <alignment vertical="center"/>
    </xf>
    <xf numFmtId="0" fontId="19" fillId="0" borderId="0" xfId="0" applyFont="1" applyAlignment="1">
      <alignment vertical="center"/>
    </xf>
    <xf numFmtId="0" fontId="37" fillId="0" borderId="0" xfId="0" applyFont="1"/>
    <xf numFmtId="0" fontId="38" fillId="0" borderId="0" xfId="0" applyFont="1" applyAlignment="1">
      <alignment vertical="center" wrapText="1"/>
    </xf>
    <xf numFmtId="0" fontId="37"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wrapText="1"/>
    </xf>
    <xf numFmtId="0" fontId="39" fillId="0" borderId="0" xfId="0" applyFont="1" applyAlignment="1">
      <alignment vertical="center" wrapText="1"/>
    </xf>
    <xf numFmtId="49" fontId="38" fillId="0" borderId="0" xfId="0" applyNumberFormat="1" applyFont="1" applyAlignment="1">
      <alignment horizontal="center" vertical="center" wrapText="1"/>
    </xf>
    <xf numFmtId="2" fontId="38" fillId="0" borderId="0" xfId="0" applyNumberFormat="1" applyFont="1" applyAlignment="1">
      <alignment horizontal="center" vertical="center" wrapText="1"/>
    </xf>
    <xf numFmtId="0" fontId="40" fillId="0" borderId="0" xfId="0" applyFont="1" applyAlignment="1">
      <alignment horizontal="center" vertical="center" wrapText="1"/>
    </xf>
    <xf numFmtId="0" fontId="41" fillId="0" borderId="0" xfId="0" applyFont="1" applyAlignment="1">
      <alignment vertical="center" wrapText="1"/>
    </xf>
    <xf numFmtId="0" fontId="36" fillId="0" borderId="0" xfId="0" applyFont="1"/>
    <xf numFmtId="0" fontId="38" fillId="2" borderId="0" xfId="0" applyFont="1" applyFill="1" applyAlignment="1">
      <alignment horizontal="center" vertical="center" wrapText="1"/>
    </xf>
    <xf numFmtId="0" fontId="38" fillId="3" borderId="0" xfId="0" applyFont="1" applyFill="1" applyAlignment="1">
      <alignment horizontal="center" vertical="center" wrapText="1"/>
    </xf>
    <xf numFmtId="0" fontId="7" fillId="0" borderId="0" xfId="0" applyFont="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1" fillId="0" borderId="0" xfId="0" applyFont="1" applyAlignment="1">
      <alignment wrapText="1"/>
    </xf>
    <xf numFmtId="0" fontId="19" fillId="0" borderId="0" xfId="0" applyFont="1" applyAlignment="1">
      <alignment wrapText="1"/>
    </xf>
    <xf numFmtId="0" fontId="0" fillId="0" borderId="0" xfId="0" applyAlignment="1">
      <alignment wrapText="1"/>
    </xf>
    <xf numFmtId="0" fontId="20" fillId="0" borderId="0" xfId="0" applyFont="1" applyAlignment="1">
      <alignment horizontal="center" vertical="center"/>
    </xf>
    <xf numFmtId="0" fontId="30" fillId="2" borderId="0" xfId="0" applyFont="1" applyFill="1" applyAlignment="1">
      <alignment horizontal="center"/>
    </xf>
    <xf numFmtId="0" fontId="19" fillId="0" borderId="0" xfId="0" applyFont="1" applyAlignment="1">
      <alignment horizontal="lef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vertical="center" wrapText="1"/>
    </xf>
    <xf numFmtId="2" fontId="6" fillId="2" borderId="0" xfId="0" applyNumberFormat="1" applyFont="1" applyFill="1" applyAlignment="1">
      <alignment horizontal="center" vertical="center"/>
    </xf>
    <xf numFmtId="0" fontId="33" fillId="0" borderId="0" xfId="0" applyFont="1" applyAlignment="1">
      <alignment wrapText="1"/>
    </xf>
    <xf numFmtId="0" fontId="32" fillId="0" borderId="0" xfId="0" applyFont="1" applyAlignment="1">
      <alignment wrapText="1"/>
    </xf>
    <xf numFmtId="0" fontId="20" fillId="0" borderId="0" xfId="0" applyFont="1" applyAlignment="1">
      <alignment vertical="center" wrapText="1"/>
    </xf>
    <xf numFmtId="0" fontId="19" fillId="2" borderId="0" xfId="0" applyFont="1" applyFill="1" applyAlignment="1">
      <alignment horizontal="center" vertical="center"/>
    </xf>
    <xf numFmtId="0" fontId="14" fillId="2" borderId="0" xfId="0" applyFont="1" applyFill="1" applyAlignment="1">
      <alignment horizontal="center" vertical="center"/>
    </xf>
    <xf numFmtId="0" fontId="21" fillId="2" borderId="0" xfId="0" applyFont="1" applyFill="1" applyAlignment="1">
      <alignment horizontal="center"/>
    </xf>
    <xf numFmtId="0" fontId="32" fillId="0" borderId="0" xfId="0" applyFont="1" applyAlignment="1">
      <alignment vertical="center" wrapText="1"/>
    </xf>
    <xf numFmtId="0" fontId="38" fillId="0" borderId="0" xfId="0" applyFont="1" applyAlignment="1">
      <alignment vertical="center" wrapText="1"/>
    </xf>
    <xf numFmtId="0" fontId="38" fillId="0" borderId="0" xfId="0" applyFont="1" applyAlignment="1">
      <alignment horizontal="center" vertical="center" wrapText="1"/>
    </xf>
    <xf numFmtId="0" fontId="22" fillId="0" borderId="0" xfId="0" applyFont="1" applyAlignment="1">
      <alignment horizontal="left" vertical="top" wrapText="1"/>
    </xf>
    <xf numFmtId="0" fontId="35" fillId="0" borderId="0" xfId="0" applyFont="1" applyAlignment="1">
      <alignment horizontal="left" vertical="center" wrapText="1"/>
    </xf>
    <xf numFmtId="0" fontId="20" fillId="0" borderId="0" xfId="0" applyFont="1" applyAlignment="1">
      <alignment wrapText="1"/>
    </xf>
    <xf numFmtId="0" fontId="14" fillId="0" borderId="0" xfId="0" applyFont="1" applyAlignment="1">
      <alignment horizontal="left" wrapText="1"/>
    </xf>
    <xf numFmtId="0" fontId="0" fillId="0" borderId="0" xfId="0" applyAlignment="1">
      <alignment horizontal="left" wrapText="1"/>
    </xf>
    <xf numFmtId="0" fontId="14" fillId="0" borderId="0" xfId="0" applyFont="1" applyAlignment="1">
      <alignment wrapText="1"/>
    </xf>
    <xf numFmtId="0" fontId="7" fillId="0" borderId="0" xfId="0" applyFont="1" applyAlignment="1">
      <alignment wrapText="1"/>
    </xf>
    <xf numFmtId="0" fontId="17" fillId="0" borderId="0" xfId="0" applyFont="1" applyAlignment="1">
      <alignment horizontal="left" vertical="center" wrapText="1"/>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2</xdr:col>
      <xdr:colOff>478972</xdr:colOff>
      <xdr:row>58</xdr:row>
      <xdr:rowOff>65314</xdr:rowOff>
    </xdr:from>
    <xdr:to>
      <xdr:col>3</xdr:col>
      <xdr:colOff>1376781</xdr:colOff>
      <xdr:row>60</xdr:row>
      <xdr:rowOff>93838</xdr:rowOff>
    </xdr:to>
    <xdr:pic>
      <xdr:nvPicPr>
        <xdr:cNvPr id="6" name="Image 5">
          <a:extLst>
            <a:ext uri="{FF2B5EF4-FFF2-40B4-BE49-F238E27FC236}">
              <a16:creationId xmlns:a16="http://schemas.microsoft.com/office/drawing/2014/main" id="{9739061D-C011-06B7-7033-2ED4D227EACE}"/>
            </a:ext>
          </a:extLst>
        </xdr:cNvPr>
        <xdr:cNvPicPr>
          <a:picLocks noChangeAspect="1"/>
        </xdr:cNvPicPr>
      </xdr:nvPicPr>
      <xdr:blipFill>
        <a:blip xmlns:r="http://schemas.openxmlformats.org/officeDocument/2006/relationships" r:embed="rId1"/>
        <a:stretch>
          <a:fillRect/>
        </a:stretch>
      </xdr:blipFill>
      <xdr:spPr>
        <a:xfrm>
          <a:off x="2247901" y="10553700"/>
          <a:ext cx="2104762" cy="409524"/>
        </a:xfrm>
        <a:prstGeom prst="rect">
          <a:avLst/>
        </a:prstGeom>
      </xdr:spPr>
    </xdr:pic>
    <xdr:clientData/>
  </xdr:twoCellAnchor>
  <xdr:twoCellAnchor editAs="oneCell">
    <xdr:from>
      <xdr:col>8</xdr:col>
      <xdr:colOff>277585</xdr:colOff>
      <xdr:row>64</xdr:row>
      <xdr:rowOff>108857</xdr:rowOff>
    </xdr:from>
    <xdr:to>
      <xdr:col>14</xdr:col>
      <xdr:colOff>150122</xdr:colOff>
      <xdr:row>68</xdr:row>
      <xdr:rowOff>65315</xdr:rowOff>
    </xdr:to>
    <xdr:pic>
      <xdr:nvPicPr>
        <xdr:cNvPr id="7" name="Image 6">
          <a:extLst>
            <a:ext uri="{FF2B5EF4-FFF2-40B4-BE49-F238E27FC236}">
              <a16:creationId xmlns:a16="http://schemas.microsoft.com/office/drawing/2014/main" id="{62779603-32C1-839F-E891-EDB975593463}"/>
            </a:ext>
          </a:extLst>
        </xdr:cNvPr>
        <xdr:cNvPicPr>
          <a:picLocks noChangeAspect="1"/>
        </xdr:cNvPicPr>
      </xdr:nvPicPr>
      <xdr:blipFill>
        <a:blip xmlns:r="http://schemas.openxmlformats.org/officeDocument/2006/relationships" r:embed="rId2"/>
        <a:stretch>
          <a:fillRect/>
        </a:stretch>
      </xdr:blipFill>
      <xdr:spPr>
        <a:xfrm>
          <a:off x="7222671" y="12502243"/>
          <a:ext cx="4640480" cy="718458"/>
        </a:xfrm>
        <a:prstGeom prst="rect">
          <a:avLst/>
        </a:prstGeom>
      </xdr:spPr>
    </xdr:pic>
    <xdr:clientData/>
  </xdr:twoCellAnchor>
  <xdr:twoCellAnchor editAs="oneCell">
    <xdr:from>
      <xdr:col>2</xdr:col>
      <xdr:colOff>751114</xdr:colOff>
      <xdr:row>64</xdr:row>
      <xdr:rowOff>48986</xdr:rowOff>
    </xdr:from>
    <xdr:to>
      <xdr:col>3</xdr:col>
      <xdr:colOff>934637</xdr:colOff>
      <xdr:row>66</xdr:row>
      <xdr:rowOff>48938</xdr:rowOff>
    </xdr:to>
    <xdr:pic>
      <xdr:nvPicPr>
        <xdr:cNvPr id="8" name="Image 7">
          <a:extLst>
            <a:ext uri="{FF2B5EF4-FFF2-40B4-BE49-F238E27FC236}">
              <a16:creationId xmlns:a16="http://schemas.microsoft.com/office/drawing/2014/main" id="{1A8FD38A-2743-2193-6187-EB6C11932F62}"/>
            </a:ext>
          </a:extLst>
        </xdr:cNvPr>
        <xdr:cNvPicPr>
          <a:picLocks noChangeAspect="1"/>
        </xdr:cNvPicPr>
      </xdr:nvPicPr>
      <xdr:blipFill>
        <a:blip xmlns:r="http://schemas.openxmlformats.org/officeDocument/2006/relationships" r:embed="rId3"/>
        <a:stretch>
          <a:fillRect/>
        </a:stretch>
      </xdr:blipFill>
      <xdr:spPr>
        <a:xfrm>
          <a:off x="2520043" y="12442372"/>
          <a:ext cx="1390476" cy="380952"/>
        </a:xfrm>
        <a:prstGeom prst="rect">
          <a:avLst/>
        </a:prstGeom>
      </xdr:spPr>
    </xdr:pic>
    <xdr:clientData/>
  </xdr:twoCellAnchor>
  <xdr:twoCellAnchor editAs="oneCell">
    <xdr:from>
      <xdr:col>6</xdr:col>
      <xdr:colOff>737718</xdr:colOff>
      <xdr:row>90</xdr:row>
      <xdr:rowOff>353785</xdr:rowOff>
    </xdr:from>
    <xdr:to>
      <xdr:col>10</xdr:col>
      <xdr:colOff>408215</xdr:colOff>
      <xdr:row>101</xdr:row>
      <xdr:rowOff>70757</xdr:rowOff>
    </xdr:to>
    <xdr:pic>
      <xdr:nvPicPr>
        <xdr:cNvPr id="9" name="Image 8">
          <a:extLst>
            <a:ext uri="{FF2B5EF4-FFF2-40B4-BE49-F238E27FC236}">
              <a16:creationId xmlns:a16="http://schemas.microsoft.com/office/drawing/2014/main" id="{FF5B18D2-653F-1CF6-2DFD-E6E1EF1F2F78}"/>
            </a:ext>
          </a:extLst>
        </xdr:cNvPr>
        <xdr:cNvPicPr>
          <a:picLocks noChangeAspect="1"/>
        </xdr:cNvPicPr>
      </xdr:nvPicPr>
      <xdr:blipFill>
        <a:blip xmlns:r="http://schemas.openxmlformats.org/officeDocument/2006/relationships" r:embed="rId4"/>
        <a:stretch>
          <a:fillRect/>
        </a:stretch>
      </xdr:blipFill>
      <xdr:spPr>
        <a:xfrm>
          <a:off x="6093489" y="14853556"/>
          <a:ext cx="3028740" cy="2569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228600</xdr:colOff>
      <xdr:row>4</xdr:row>
      <xdr:rowOff>411480</xdr:rowOff>
    </xdr:from>
    <xdr:ext cx="2964180" cy="845820"/>
    <xdr:pic>
      <xdr:nvPicPr>
        <xdr:cNvPr id="2" name="Image 1">
          <a:extLst>
            <a:ext uri="{FF2B5EF4-FFF2-40B4-BE49-F238E27FC236}">
              <a16:creationId xmlns:a16="http://schemas.microsoft.com/office/drawing/2014/main" id="{07818D56-CEE6-4048-BAB2-F0EFE9433358}"/>
            </a:ext>
          </a:extLst>
        </xdr:cNvPr>
        <xdr:cNvPicPr>
          <a:picLocks noChangeAspect="1"/>
        </xdr:cNvPicPr>
      </xdr:nvPicPr>
      <xdr:blipFill>
        <a:blip xmlns:r="http://schemas.openxmlformats.org/officeDocument/2006/relationships" r:embed="rId1"/>
        <a:stretch>
          <a:fillRect/>
        </a:stretch>
      </xdr:blipFill>
      <xdr:spPr>
        <a:xfrm>
          <a:off x="6583680" y="1615440"/>
          <a:ext cx="2964180" cy="8458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739140</xdr:colOff>
      <xdr:row>2</xdr:row>
      <xdr:rowOff>106680</xdr:rowOff>
    </xdr:from>
    <xdr:ext cx="2697204" cy="1051560"/>
    <xdr:pic>
      <xdr:nvPicPr>
        <xdr:cNvPr id="3" name="Image 2">
          <a:extLst>
            <a:ext uri="{FF2B5EF4-FFF2-40B4-BE49-F238E27FC236}">
              <a16:creationId xmlns:a16="http://schemas.microsoft.com/office/drawing/2014/main" id="{E00679D0-F4D8-4932-8E45-F1770E39EFAA}"/>
            </a:ext>
          </a:extLst>
        </xdr:cNvPr>
        <xdr:cNvPicPr>
          <a:picLocks noChangeAspect="1"/>
        </xdr:cNvPicPr>
      </xdr:nvPicPr>
      <xdr:blipFill>
        <a:blip xmlns:r="http://schemas.openxmlformats.org/officeDocument/2006/relationships" r:embed="rId1"/>
        <a:stretch>
          <a:fillRect/>
        </a:stretch>
      </xdr:blipFill>
      <xdr:spPr>
        <a:xfrm>
          <a:off x="9486900" y="708660"/>
          <a:ext cx="2697204" cy="105156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445842</xdr:colOff>
      <xdr:row>5</xdr:row>
      <xdr:rowOff>312420</xdr:rowOff>
    </xdr:from>
    <xdr:to>
      <xdr:col>9</xdr:col>
      <xdr:colOff>737028</xdr:colOff>
      <xdr:row>8</xdr:row>
      <xdr:rowOff>152400</xdr:rowOff>
    </xdr:to>
    <xdr:pic>
      <xdr:nvPicPr>
        <xdr:cNvPr id="3" name="Image 2">
          <a:extLst>
            <a:ext uri="{FF2B5EF4-FFF2-40B4-BE49-F238E27FC236}">
              <a16:creationId xmlns:a16="http://schemas.microsoft.com/office/drawing/2014/main" id="{E5395FF5-77EB-4E82-9602-F5D1DBA8191B}"/>
            </a:ext>
          </a:extLst>
        </xdr:cNvPr>
        <xdr:cNvPicPr>
          <a:picLocks noChangeAspect="1"/>
        </xdr:cNvPicPr>
      </xdr:nvPicPr>
      <xdr:blipFill>
        <a:blip xmlns:r="http://schemas.openxmlformats.org/officeDocument/2006/relationships" r:embed="rId1"/>
        <a:stretch>
          <a:fillRect/>
        </a:stretch>
      </xdr:blipFill>
      <xdr:spPr>
        <a:xfrm>
          <a:off x="7242882" y="1676400"/>
          <a:ext cx="2798166" cy="1074420"/>
        </a:xfrm>
        <a:prstGeom prst="rect">
          <a:avLst/>
        </a:prstGeom>
      </xdr:spPr>
    </xdr:pic>
    <xdr:clientData/>
  </xdr:twoCellAnchor>
  <xdr:twoCellAnchor editAs="oneCell">
    <xdr:from>
      <xdr:col>5</xdr:col>
      <xdr:colOff>144780</xdr:colOff>
      <xdr:row>19</xdr:row>
      <xdr:rowOff>91440</xdr:rowOff>
    </xdr:from>
    <xdr:to>
      <xdr:col>14</xdr:col>
      <xdr:colOff>480767</xdr:colOff>
      <xdr:row>21</xdr:row>
      <xdr:rowOff>99060</xdr:rowOff>
    </xdr:to>
    <xdr:pic>
      <xdr:nvPicPr>
        <xdr:cNvPr id="4" name="Image 3">
          <a:extLst>
            <a:ext uri="{FF2B5EF4-FFF2-40B4-BE49-F238E27FC236}">
              <a16:creationId xmlns:a16="http://schemas.microsoft.com/office/drawing/2014/main" id="{E386162F-6252-277E-A864-12AB4349AE02}"/>
            </a:ext>
          </a:extLst>
        </xdr:cNvPr>
        <xdr:cNvPicPr>
          <a:picLocks noChangeAspect="1"/>
        </xdr:cNvPicPr>
      </xdr:nvPicPr>
      <xdr:blipFill>
        <a:blip xmlns:r="http://schemas.openxmlformats.org/officeDocument/2006/relationships" r:embed="rId2"/>
        <a:stretch>
          <a:fillRect/>
        </a:stretch>
      </xdr:blipFill>
      <xdr:spPr>
        <a:xfrm>
          <a:off x="5113020" y="8130540"/>
          <a:ext cx="8154107" cy="9601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586740</xdr:colOff>
      <xdr:row>4</xdr:row>
      <xdr:rowOff>95794</xdr:rowOff>
    </xdr:from>
    <xdr:to>
      <xdr:col>17</xdr:col>
      <xdr:colOff>663178</xdr:colOff>
      <xdr:row>4</xdr:row>
      <xdr:rowOff>1024259</xdr:rowOff>
    </xdr:to>
    <xdr:pic>
      <xdr:nvPicPr>
        <xdr:cNvPr id="2" name="Image 1">
          <a:extLst>
            <a:ext uri="{FF2B5EF4-FFF2-40B4-BE49-F238E27FC236}">
              <a16:creationId xmlns:a16="http://schemas.microsoft.com/office/drawing/2014/main" id="{C984B862-DBD9-45DF-B5EF-749798D7F895}"/>
            </a:ext>
          </a:extLst>
        </xdr:cNvPr>
        <xdr:cNvPicPr>
          <a:picLocks noChangeAspect="1"/>
        </xdr:cNvPicPr>
      </xdr:nvPicPr>
      <xdr:blipFill>
        <a:blip xmlns:r="http://schemas.openxmlformats.org/officeDocument/2006/relationships" r:embed="rId1"/>
        <a:stretch>
          <a:fillRect/>
        </a:stretch>
      </xdr:blipFill>
      <xdr:spPr>
        <a:xfrm>
          <a:off x="11681460" y="1063534"/>
          <a:ext cx="2453878" cy="928465"/>
        </a:xfrm>
        <a:prstGeom prst="rect">
          <a:avLst/>
        </a:prstGeom>
      </xdr:spPr>
    </xdr:pic>
    <xdr:clientData/>
  </xdr:twoCellAnchor>
  <xdr:twoCellAnchor editAs="oneCell">
    <xdr:from>
      <xdr:col>14</xdr:col>
      <xdr:colOff>512717</xdr:colOff>
      <xdr:row>6</xdr:row>
      <xdr:rowOff>71845</xdr:rowOff>
    </xdr:from>
    <xdr:to>
      <xdr:col>18</xdr:col>
      <xdr:colOff>221980</xdr:colOff>
      <xdr:row>7</xdr:row>
      <xdr:rowOff>845455</xdr:rowOff>
    </xdr:to>
    <xdr:pic>
      <xdr:nvPicPr>
        <xdr:cNvPr id="3" name="Image 2">
          <a:extLst>
            <a:ext uri="{FF2B5EF4-FFF2-40B4-BE49-F238E27FC236}">
              <a16:creationId xmlns:a16="http://schemas.microsoft.com/office/drawing/2014/main" id="{DF0BC32C-60BF-4552-82C6-CC2F6403172B}"/>
            </a:ext>
          </a:extLst>
        </xdr:cNvPr>
        <xdr:cNvPicPr>
          <a:picLocks noChangeAspect="1"/>
        </xdr:cNvPicPr>
      </xdr:nvPicPr>
      <xdr:blipFill>
        <a:blip xmlns:r="http://schemas.openxmlformats.org/officeDocument/2006/relationships" r:embed="rId2"/>
        <a:stretch>
          <a:fillRect/>
        </a:stretch>
      </xdr:blipFill>
      <xdr:spPr>
        <a:xfrm>
          <a:off x="11607437" y="2334985"/>
          <a:ext cx="2879183" cy="956490"/>
        </a:xfrm>
        <a:prstGeom prst="rect">
          <a:avLst/>
        </a:prstGeom>
      </xdr:spPr>
    </xdr:pic>
    <xdr:clientData/>
  </xdr:twoCellAnchor>
  <xdr:twoCellAnchor editAs="oneCell">
    <xdr:from>
      <xdr:col>2</xdr:col>
      <xdr:colOff>861060</xdr:colOff>
      <xdr:row>5</xdr:row>
      <xdr:rowOff>53340</xdr:rowOff>
    </xdr:from>
    <xdr:to>
      <xdr:col>4</xdr:col>
      <xdr:colOff>300673</xdr:colOff>
      <xdr:row>6</xdr:row>
      <xdr:rowOff>121920</xdr:rowOff>
    </xdr:to>
    <xdr:pic>
      <xdr:nvPicPr>
        <xdr:cNvPr id="4" name="Image 3">
          <a:extLst>
            <a:ext uri="{FF2B5EF4-FFF2-40B4-BE49-F238E27FC236}">
              <a16:creationId xmlns:a16="http://schemas.microsoft.com/office/drawing/2014/main" id="{24561105-494D-F75F-4EF0-692BB36CEDFD}"/>
            </a:ext>
          </a:extLst>
        </xdr:cNvPr>
        <xdr:cNvPicPr>
          <a:picLocks noChangeAspect="1"/>
        </xdr:cNvPicPr>
      </xdr:nvPicPr>
      <xdr:blipFill>
        <a:blip xmlns:r="http://schemas.openxmlformats.org/officeDocument/2006/relationships" r:embed="rId3"/>
        <a:stretch>
          <a:fillRect/>
        </a:stretch>
      </xdr:blipFill>
      <xdr:spPr>
        <a:xfrm>
          <a:off x="2446020" y="2186940"/>
          <a:ext cx="2533333" cy="777240"/>
        </a:xfrm>
        <a:prstGeom prst="rect">
          <a:avLst/>
        </a:prstGeom>
      </xdr:spPr>
    </xdr:pic>
    <xdr:clientData/>
  </xdr:twoCellAnchor>
  <xdr:twoCellAnchor editAs="oneCell">
    <xdr:from>
      <xdr:col>4</xdr:col>
      <xdr:colOff>297180</xdr:colOff>
      <xdr:row>9</xdr:row>
      <xdr:rowOff>30480</xdr:rowOff>
    </xdr:from>
    <xdr:to>
      <xdr:col>5</xdr:col>
      <xdr:colOff>1439818</xdr:colOff>
      <xdr:row>10</xdr:row>
      <xdr:rowOff>138945</xdr:rowOff>
    </xdr:to>
    <xdr:pic>
      <xdr:nvPicPr>
        <xdr:cNvPr id="5" name="Image 4">
          <a:extLst>
            <a:ext uri="{FF2B5EF4-FFF2-40B4-BE49-F238E27FC236}">
              <a16:creationId xmlns:a16="http://schemas.microsoft.com/office/drawing/2014/main" id="{F7CE3B32-10EB-79CE-BDB4-FEA938528CDF}"/>
            </a:ext>
          </a:extLst>
        </xdr:cNvPr>
        <xdr:cNvPicPr>
          <a:picLocks noChangeAspect="1"/>
        </xdr:cNvPicPr>
      </xdr:nvPicPr>
      <xdr:blipFill>
        <a:blip xmlns:r="http://schemas.openxmlformats.org/officeDocument/2006/relationships" r:embed="rId4"/>
        <a:stretch>
          <a:fillRect/>
        </a:stretch>
      </xdr:blipFill>
      <xdr:spPr>
        <a:xfrm>
          <a:off x="4480560" y="4663440"/>
          <a:ext cx="2895238" cy="96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762000</xdr:colOff>
      <xdr:row>17</xdr:row>
      <xdr:rowOff>327660</xdr:rowOff>
    </xdr:from>
    <xdr:ext cx="2276190" cy="792480"/>
    <xdr:pic>
      <xdr:nvPicPr>
        <xdr:cNvPr id="2" name="Image 1">
          <a:extLst>
            <a:ext uri="{FF2B5EF4-FFF2-40B4-BE49-F238E27FC236}">
              <a16:creationId xmlns:a16="http://schemas.microsoft.com/office/drawing/2014/main" id="{33773382-20F7-41ED-AD94-94F53EFC8DC5}"/>
            </a:ext>
          </a:extLst>
        </xdr:cNvPr>
        <xdr:cNvPicPr>
          <a:picLocks noChangeAspect="1"/>
        </xdr:cNvPicPr>
      </xdr:nvPicPr>
      <xdr:blipFill>
        <a:blip xmlns:r="http://schemas.openxmlformats.org/officeDocument/2006/relationships" r:embed="rId1"/>
        <a:stretch>
          <a:fillRect/>
        </a:stretch>
      </xdr:blipFill>
      <xdr:spPr>
        <a:xfrm>
          <a:off x="3931920" y="6850380"/>
          <a:ext cx="2276190" cy="792480"/>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7FDB-520D-4B75-86ED-5467E70E6BC8}">
  <dimension ref="A1:P312"/>
  <sheetViews>
    <sheetView zoomScale="40" zoomScaleNormal="40" workbookViewId="0">
      <selection activeCell="C16" sqref="C16"/>
    </sheetView>
  </sheetViews>
  <sheetFormatPr baseColWidth="10" defaultRowHeight="14.4"/>
  <cols>
    <col min="2" max="2" width="14.21875" customWidth="1"/>
    <col min="3" max="3" width="17.5546875" customWidth="1"/>
    <col min="4" max="4" width="35.109375" bestFit="1" customWidth="1"/>
    <col min="7" max="7" width="14.21875" bestFit="1" customWidth="1"/>
  </cols>
  <sheetData>
    <row r="1" spans="1:12" ht="33">
      <c r="C1" s="26" t="s">
        <v>207</v>
      </c>
    </row>
    <row r="3" spans="1:12" ht="72" customHeight="1">
      <c r="A3" s="98" t="s">
        <v>208</v>
      </c>
      <c r="B3" s="99"/>
      <c r="C3" s="99"/>
      <c r="D3" s="99"/>
      <c r="E3" s="99"/>
      <c r="F3" s="99"/>
      <c r="G3" s="99"/>
      <c r="I3" s="100" t="s">
        <v>204</v>
      </c>
      <c r="J3" s="100"/>
      <c r="K3" s="100"/>
      <c r="L3" s="100"/>
    </row>
    <row r="5" spans="1:12" ht="33">
      <c r="B5" s="25" t="s">
        <v>211</v>
      </c>
      <c r="C5" s="35" t="s">
        <v>214</v>
      </c>
      <c r="I5" s="1"/>
    </row>
    <row r="6" spans="1:12" ht="33">
      <c r="B6" s="25" t="s">
        <v>212</v>
      </c>
      <c r="C6" s="35" t="s">
        <v>209</v>
      </c>
      <c r="I6" s="1"/>
    </row>
    <row r="7" spans="1:12" ht="33">
      <c r="B7" s="25" t="s">
        <v>213</v>
      </c>
      <c r="C7" s="35" t="s">
        <v>210</v>
      </c>
      <c r="I7" s="1"/>
    </row>
    <row r="8" spans="1:12" ht="33">
      <c r="B8" s="25" t="s">
        <v>213</v>
      </c>
      <c r="C8" s="35" t="s">
        <v>205</v>
      </c>
      <c r="I8" s="1"/>
    </row>
    <row r="9" spans="1:12" ht="39" customHeight="1">
      <c r="B9" s="25" t="s">
        <v>215</v>
      </c>
      <c r="C9" s="102" t="s">
        <v>216</v>
      </c>
      <c r="D9" s="102"/>
      <c r="E9" s="102"/>
      <c r="F9" s="102"/>
      <c r="G9" s="102"/>
    </row>
    <row r="10" spans="1:12" ht="33">
      <c r="C10" s="26"/>
    </row>
    <row r="11" spans="1:12" ht="66">
      <c r="B11" s="67" t="s">
        <v>1</v>
      </c>
      <c r="C11" s="68"/>
      <c r="E11" s="101">
        <f>37758*POWER((1+0.014),28)</f>
        <v>55727.77736045132</v>
      </c>
      <c r="F11" s="101"/>
      <c r="G11" s="101"/>
    </row>
    <row r="12" spans="1:12" ht="33">
      <c r="B12" s="26"/>
      <c r="C12" s="26"/>
    </row>
    <row r="13" spans="1:12" ht="33">
      <c r="B13" s="26"/>
      <c r="C13" s="26"/>
    </row>
    <row r="15" spans="1:12" ht="15.6">
      <c r="H15" s="1"/>
    </row>
    <row r="17" spans="8:8" ht="15">
      <c r="H17" s="3"/>
    </row>
    <row r="41" spans="1:1" ht="42.6" customHeight="1"/>
    <row r="46" spans="1:1">
      <c r="A46" s="6"/>
    </row>
    <row r="47" spans="1:1" ht="15.6">
      <c r="A47" s="5"/>
    </row>
    <row r="49" spans="1:2" ht="15.6">
      <c r="A49" s="1"/>
    </row>
    <row r="51" spans="1:2" ht="15.6">
      <c r="A51" s="1"/>
    </row>
    <row r="53" spans="1:2" ht="31.2">
      <c r="A53" s="8"/>
      <c r="B53" s="8"/>
    </row>
    <row r="55" spans="1:2" ht="15.6">
      <c r="A55" s="5"/>
    </row>
    <row r="57" spans="1:2" ht="15.6">
      <c r="A57" s="1"/>
    </row>
    <row r="59" spans="1:2" ht="15.6">
      <c r="A59" s="1"/>
    </row>
    <row r="61" spans="1:2" ht="15.6">
      <c r="A61" s="1"/>
    </row>
    <row r="64" spans="1:2" ht="15.6">
      <c r="A64" s="1"/>
    </row>
    <row r="66" spans="1:1" ht="15.6">
      <c r="A66" s="1"/>
    </row>
    <row r="68" spans="1:1" ht="15.6">
      <c r="A68" s="1"/>
    </row>
    <row r="70" spans="1:1" ht="15.6">
      <c r="A70" s="1"/>
    </row>
    <row r="71" spans="1:1" ht="15.6">
      <c r="A71" s="1"/>
    </row>
    <row r="73" spans="1:1" ht="15.6">
      <c r="A73" s="1"/>
    </row>
    <row r="75" spans="1:1" ht="15.6">
      <c r="A75" s="1"/>
    </row>
    <row r="77" spans="1:1" ht="15.6">
      <c r="A77" s="1"/>
    </row>
    <row r="79" spans="1:1" ht="15.6">
      <c r="A79" s="1"/>
    </row>
    <row r="81" spans="1:7" ht="15.6">
      <c r="A81" s="1"/>
    </row>
    <row r="83" spans="1:7" ht="15.6">
      <c r="A83" s="1"/>
    </row>
    <row r="85" spans="1:7" ht="15.6">
      <c r="A85" s="1"/>
    </row>
    <row r="87" spans="1:7" ht="15.6">
      <c r="B87" s="12"/>
    </row>
    <row r="89" spans="1:7" ht="31.2">
      <c r="A89" s="8"/>
      <c r="B89" s="8"/>
    </row>
    <row r="90" spans="1:7" ht="15.6">
      <c r="A90" s="2"/>
    </row>
    <row r="91" spans="1:7" ht="31.2">
      <c r="A91" s="10"/>
      <c r="C91" s="8"/>
    </row>
    <row r="93" spans="1:7" ht="31.2" customHeight="1">
      <c r="A93" s="103"/>
      <c r="B93" s="104"/>
      <c r="C93" s="104"/>
      <c r="D93" s="104"/>
      <c r="E93" s="104"/>
      <c r="F93" s="104"/>
      <c r="G93" s="104"/>
    </row>
    <row r="95" spans="1:7" ht="15.6">
      <c r="A95" s="5"/>
    </row>
    <row r="97" spans="1:16" ht="44.4" customHeight="1">
      <c r="A97" s="94"/>
      <c r="B97" s="95"/>
      <c r="C97" s="95"/>
      <c r="D97" s="95"/>
      <c r="E97" s="95"/>
      <c r="F97" s="95"/>
      <c r="G97" s="95"/>
    </row>
    <row r="104" spans="1:16" ht="15.6">
      <c r="B104" s="13" t="s">
        <v>14</v>
      </c>
      <c r="C104" s="96" t="s">
        <v>15</v>
      </c>
      <c r="D104" s="96"/>
      <c r="E104" s="96"/>
      <c r="F104" s="96" t="s">
        <v>16</v>
      </c>
      <c r="G104" s="96"/>
      <c r="K104" s="13"/>
      <c r="L104" s="13"/>
      <c r="M104" s="13"/>
    </row>
    <row r="105" spans="1:16" ht="15.6">
      <c r="B105" s="13" t="s">
        <v>17</v>
      </c>
      <c r="C105" s="13" t="s">
        <v>18</v>
      </c>
      <c r="D105" s="13" t="s">
        <v>19</v>
      </c>
      <c r="E105" s="13" t="s">
        <v>20</v>
      </c>
      <c r="F105" s="13" t="s">
        <v>18</v>
      </c>
      <c r="G105" s="13" t="s">
        <v>21</v>
      </c>
      <c r="H105" s="13" t="s">
        <v>26</v>
      </c>
      <c r="K105" s="13"/>
      <c r="L105" s="13"/>
      <c r="M105" s="13"/>
      <c r="N105" s="13"/>
      <c r="O105" s="13"/>
      <c r="P105" s="13"/>
    </row>
    <row r="106" spans="1:16" ht="15.6">
      <c r="B106" s="13" t="s">
        <v>22</v>
      </c>
      <c r="C106" s="4">
        <v>0.9</v>
      </c>
      <c r="D106" s="4">
        <v>13469.6</v>
      </c>
      <c r="E106" s="4">
        <f t="shared" ref="E106:E121" si="0">(C106*D106)/100</f>
        <v>121.22640000000001</v>
      </c>
      <c r="F106" s="4">
        <v>0.9</v>
      </c>
      <c r="G106" s="4">
        <f>(121.23)</f>
        <v>121.23</v>
      </c>
      <c r="H106" s="4">
        <f>(121.23)</f>
        <v>121.23</v>
      </c>
      <c r="K106" s="4">
        <v>0.9</v>
      </c>
      <c r="L106" s="4">
        <v>13469.6</v>
      </c>
      <c r="M106" s="4">
        <v>121.23</v>
      </c>
      <c r="N106" s="4">
        <v>0.9</v>
      </c>
      <c r="O106" s="4">
        <v>121.23</v>
      </c>
    </row>
    <row r="107" spans="1:16" ht="15.6">
      <c r="B107" s="16" t="s">
        <v>35</v>
      </c>
      <c r="C107" s="4">
        <v>0.9</v>
      </c>
      <c r="D107" s="4">
        <v>13469.6</v>
      </c>
      <c r="E107" s="4">
        <f t="shared" si="0"/>
        <v>121.22640000000001</v>
      </c>
      <c r="F107" s="4">
        <v>1.8</v>
      </c>
      <c r="G107" s="4">
        <v>242.46</v>
      </c>
      <c r="H107" s="4">
        <f>(121.23+E107)</f>
        <v>242.45640000000003</v>
      </c>
      <c r="K107" s="14">
        <v>45323</v>
      </c>
      <c r="L107" s="4">
        <v>0.9</v>
      </c>
      <c r="M107" s="4">
        <v>13469.6</v>
      </c>
      <c r="N107" s="4">
        <v>121.23</v>
      </c>
      <c r="O107" s="4">
        <v>1.8</v>
      </c>
      <c r="P107" s="4">
        <v>242.46</v>
      </c>
    </row>
    <row r="108" spans="1:16" ht="15.6">
      <c r="B108" s="16" t="s">
        <v>37</v>
      </c>
      <c r="C108" s="4">
        <v>0.9</v>
      </c>
      <c r="D108" s="4">
        <v>13469.6</v>
      </c>
      <c r="E108" s="4">
        <f t="shared" si="0"/>
        <v>121.22640000000001</v>
      </c>
      <c r="F108" s="4">
        <v>2.7</v>
      </c>
      <c r="G108" s="4">
        <v>363.69</v>
      </c>
      <c r="H108" s="4">
        <f t="shared" ref="H108:H121" si="1">(H107+E108)</f>
        <v>363.68280000000004</v>
      </c>
      <c r="K108" s="14">
        <v>45353</v>
      </c>
      <c r="L108" s="4">
        <v>0.9</v>
      </c>
      <c r="M108" s="4">
        <v>13469.6</v>
      </c>
      <c r="N108" s="4">
        <v>121.23</v>
      </c>
      <c r="O108" s="4">
        <v>2.7</v>
      </c>
      <c r="P108" s="4">
        <v>363.69</v>
      </c>
    </row>
    <row r="109" spans="1:16" ht="15.6">
      <c r="B109" s="16" t="s">
        <v>47</v>
      </c>
      <c r="C109" s="4">
        <v>1</v>
      </c>
      <c r="D109" s="4">
        <v>13469.6</v>
      </c>
      <c r="E109" s="4">
        <f t="shared" si="0"/>
        <v>134.696</v>
      </c>
      <c r="F109" s="4">
        <v>3.7</v>
      </c>
      <c r="G109" s="4">
        <v>498.39</v>
      </c>
      <c r="H109" s="4">
        <f t="shared" si="1"/>
        <v>498.37880000000007</v>
      </c>
      <c r="K109" s="14">
        <v>45385</v>
      </c>
      <c r="L109" s="4">
        <v>1</v>
      </c>
      <c r="M109" s="4">
        <v>13469.6</v>
      </c>
      <c r="N109" s="4">
        <v>134.69999999999999</v>
      </c>
      <c r="O109" s="4">
        <v>3.7</v>
      </c>
      <c r="P109" s="4">
        <v>498.39</v>
      </c>
    </row>
    <row r="110" spans="1:16" ht="15.6">
      <c r="B110" s="16" t="s">
        <v>38</v>
      </c>
      <c r="C110" s="4">
        <v>1.35</v>
      </c>
      <c r="D110" s="4">
        <v>13469.6</v>
      </c>
      <c r="E110" s="4">
        <f t="shared" si="0"/>
        <v>181.83960000000002</v>
      </c>
      <c r="F110" s="4">
        <v>5.05</v>
      </c>
      <c r="G110" s="4">
        <v>680.23</v>
      </c>
      <c r="H110" s="4">
        <f t="shared" si="1"/>
        <v>680.21840000000009</v>
      </c>
      <c r="K110" s="14">
        <v>45416</v>
      </c>
      <c r="L110" s="4">
        <v>1.35</v>
      </c>
      <c r="M110" s="4">
        <v>13469.6</v>
      </c>
      <c r="N110" s="4">
        <v>181.84</v>
      </c>
      <c r="O110" s="4">
        <v>5.05</v>
      </c>
      <c r="P110" s="4">
        <v>680.23</v>
      </c>
    </row>
    <row r="111" spans="1:16" ht="15.6">
      <c r="B111" s="16" t="s">
        <v>39</v>
      </c>
      <c r="C111" s="4">
        <v>3.85</v>
      </c>
      <c r="D111" s="4">
        <v>13469.6</v>
      </c>
      <c r="E111" s="4">
        <f t="shared" si="0"/>
        <v>518.57960000000003</v>
      </c>
      <c r="F111" s="4">
        <v>8.9</v>
      </c>
      <c r="G111" s="4">
        <v>1198.82</v>
      </c>
      <c r="H111" s="4">
        <f t="shared" si="1"/>
        <v>1198.7980000000002</v>
      </c>
      <c r="K111" s="14">
        <v>45448</v>
      </c>
      <c r="L111" s="4">
        <v>3.85</v>
      </c>
      <c r="M111" s="4">
        <v>13469.6</v>
      </c>
      <c r="N111" s="4">
        <v>518.58000000000004</v>
      </c>
      <c r="O111" s="4">
        <v>8.9</v>
      </c>
      <c r="P111" s="4">
        <v>1198.82</v>
      </c>
    </row>
    <row r="112" spans="1:16" ht="15.6">
      <c r="B112" s="16" t="s">
        <v>40</v>
      </c>
      <c r="C112" s="4">
        <v>5.2</v>
      </c>
      <c r="D112" s="4">
        <v>13469.6</v>
      </c>
      <c r="E112" s="4">
        <f t="shared" si="0"/>
        <v>700.41919999999993</v>
      </c>
      <c r="F112" s="4">
        <v>14.1</v>
      </c>
      <c r="G112" s="4">
        <v>1899.26</v>
      </c>
      <c r="H112" s="4">
        <f t="shared" si="1"/>
        <v>1899.2172</v>
      </c>
      <c r="K112" s="14">
        <v>45479</v>
      </c>
      <c r="L112" s="4">
        <v>5.2</v>
      </c>
      <c r="M112" s="4">
        <v>13469.6</v>
      </c>
      <c r="N112" s="4">
        <v>700.42</v>
      </c>
      <c r="O112" s="4">
        <v>14.1</v>
      </c>
      <c r="P112" s="4">
        <v>1899.26</v>
      </c>
    </row>
    <row r="113" spans="2:16" ht="15.6">
      <c r="B113" s="16" t="s">
        <v>41</v>
      </c>
      <c r="C113" s="4">
        <v>6.2</v>
      </c>
      <c r="D113" s="4">
        <v>13469.6</v>
      </c>
      <c r="E113" s="4">
        <f t="shared" si="0"/>
        <v>835.11520000000007</v>
      </c>
      <c r="F113" s="4">
        <v>20.3</v>
      </c>
      <c r="G113" s="4">
        <v>2734.39</v>
      </c>
      <c r="H113" s="4">
        <f t="shared" si="1"/>
        <v>2734.3324000000002</v>
      </c>
      <c r="K113" s="14">
        <v>45511</v>
      </c>
      <c r="L113" s="4">
        <v>6.2</v>
      </c>
      <c r="M113" s="4">
        <v>13469.6</v>
      </c>
      <c r="N113" s="4">
        <v>835.12</v>
      </c>
      <c r="O113" s="4">
        <v>20.3</v>
      </c>
      <c r="P113" s="4">
        <v>2734.39</v>
      </c>
    </row>
    <row r="114" spans="2:16" ht="15.6">
      <c r="B114" s="16" t="s">
        <v>42</v>
      </c>
      <c r="C114" s="4">
        <v>5.5</v>
      </c>
      <c r="D114" s="4">
        <v>13469.6</v>
      </c>
      <c r="E114" s="4">
        <f t="shared" si="0"/>
        <v>740.82799999999997</v>
      </c>
      <c r="F114" s="4">
        <v>25.8</v>
      </c>
      <c r="G114" s="4">
        <v>3475.23</v>
      </c>
      <c r="H114" s="4">
        <f t="shared" si="1"/>
        <v>3475.1604000000002</v>
      </c>
      <c r="K114" s="14">
        <v>45543</v>
      </c>
      <c r="L114" s="4">
        <v>5.5</v>
      </c>
      <c r="M114" s="4">
        <v>13469.6</v>
      </c>
      <c r="N114" s="4">
        <v>740.83</v>
      </c>
      <c r="O114" s="4">
        <v>25.8</v>
      </c>
      <c r="P114" s="4">
        <v>3475.23</v>
      </c>
    </row>
    <row r="115" spans="2:16" ht="15.6">
      <c r="B115" s="16" t="s">
        <v>43</v>
      </c>
      <c r="C115" s="4">
        <v>5.85</v>
      </c>
      <c r="D115" s="4">
        <v>13469.6</v>
      </c>
      <c r="E115" s="4">
        <f t="shared" si="0"/>
        <v>787.97160000000008</v>
      </c>
      <c r="F115" s="4">
        <v>31.65</v>
      </c>
      <c r="G115" s="4">
        <v>4263.22</v>
      </c>
      <c r="H115" s="4">
        <f t="shared" si="1"/>
        <v>4263.1320000000005</v>
      </c>
      <c r="K115" s="14">
        <v>45574</v>
      </c>
      <c r="L115" s="4">
        <v>5.85</v>
      </c>
      <c r="M115" s="4">
        <v>13469.6</v>
      </c>
      <c r="N115" s="4">
        <v>787.97</v>
      </c>
      <c r="O115" s="4">
        <v>31.65</v>
      </c>
      <c r="P115" s="4">
        <v>4263.22</v>
      </c>
    </row>
    <row r="116" spans="2:16" ht="15.6">
      <c r="B116" s="16" t="s">
        <v>44</v>
      </c>
      <c r="C116" s="4">
        <v>5</v>
      </c>
      <c r="D116" s="4">
        <v>13469.6</v>
      </c>
      <c r="E116" s="4">
        <f t="shared" si="0"/>
        <v>673.48</v>
      </c>
      <c r="F116" s="4">
        <v>36.65</v>
      </c>
      <c r="G116" s="4">
        <v>4936.72</v>
      </c>
      <c r="H116" s="4">
        <f t="shared" si="1"/>
        <v>4936.612000000001</v>
      </c>
      <c r="K116" s="14">
        <v>45606</v>
      </c>
      <c r="L116" s="4">
        <v>5</v>
      </c>
      <c r="M116" s="4">
        <v>13469.6</v>
      </c>
      <c r="N116" s="4">
        <v>673.48</v>
      </c>
      <c r="O116" s="4">
        <v>36.65</v>
      </c>
      <c r="P116" s="4">
        <v>4936.72</v>
      </c>
    </row>
    <row r="117" spans="2:16" ht="15.6">
      <c r="B117" s="16" t="s">
        <v>45</v>
      </c>
      <c r="C117" s="4">
        <v>6.5</v>
      </c>
      <c r="D117" s="4">
        <v>13469.6</v>
      </c>
      <c r="E117" s="4">
        <f t="shared" si="0"/>
        <v>875.52400000000011</v>
      </c>
      <c r="F117" s="4">
        <v>43.15</v>
      </c>
      <c r="G117" s="4">
        <v>5812.26</v>
      </c>
      <c r="H117" s="4">
        <f t="shared" si="1"/>
        <v>5812.1360000000013</v>
      </c>
      <c r="K117" s="14">
        <v>45637</v>
      </c>
      <c r="L117" s="4">
        <v>6.5</v>
      </c>
      <c r="M117" s="4">
        <v>13469.6</v>
      </c>
      <c r="N117" s="4">
        <v>875.52</v>
      </c>
      <c r="O117" s="4">
        <v>43.15</v>
      </c>
      <c r="P117" s="4">
        <v>5812.26</v>
      </c>
    </row>
    <row r="118" spans="2:16" ht="15.6">
      <c r="B118" s="16" t="s">
        <v>46</v>
      </c>
      <c r="C118" s="4">
        <v>7.5</v>
      </c>
      <c r="D118" s="4">
        <v>13469.6</v>
      </c>
      <c r="E118" s="4">
        <f t="shared" si="0"/>
        <v>1010.22</v>
      </c>
      <c r="F118" s="4">
        <v>50.65</v>
      </c>
      <c r="G118" s="4">
        <v>6822.5</v>
      </c>
      <c r="H118" s="4">
        <f t="shared" si="1"/>
        <v>6822.3560000000016</v>
      </c>
      <c r="K118" s="15">
        <v>41609</v>
      </c>
      <c r="L118" s="4">
        <v>7.5</v>
      </c>
      <c r="M118" s="4">
        <v>13469.6</v>
      </c>
      <c r="N118" s="4">
        <v>1010.22</v>
      </c>
      <c r="O118" s="4">
        <v>50.65</v>
      </c>
      <c r="P118" s="4">
        <v>6822.5</v>
      </c>
    </row>
    <row r="119" spans="2:16" ht="15.6">
      <c r="B119" s="17" t="s">
        <v>23</v>
      </c>
      <c r="C119" s="4">
        <v>6.7</v>
      </c>
      <c r="D119" s="4">
        <v>13469.6</v>
      </c>
      <c r="E119" s="4">
        <f t="shared" si="0"/>
        <v>902.46320000000003</v>
      </c>
      <c r="F119" s="4">
        <v>57.35</v>
      </c>
      <c r="G119" s="4">
        <v>7724.99</v>
      </c>
      <c r="H119" s="4">
        <f t="shared" si="1"/>
        <v>7724.8192000000017</v>
      </c>
      <c r="L119" s="4">
        <v>6.7</v>
      </c>
      <c r="M119" s="4">
        <v>13469.6</v>
      </c>
      <c r="N119" s="4">
        <v>902.46</v>
      </c>
      <c r="O119" s="4">
        <v>57.35</v>
      </c>
      <c r="P119" s="4">
        <v>7724.99</v>
      </c>
    </row>
    <row r="120" spans="2:16" ht="15.6">
      <c r="B120" s="13" t="s">
        <v>24</v>
      </c>
      <c r="C120" s="4">
        <v>5.35</v>
      </c>
      <c r="D120" s="4">
        <v>13469.6</v>
      </c>
      <c r="E120" s="4">
        <f t="shared" si="0"/>
        <v>720.62360000000001</v>
      </c>
      <c r="F120" s="4">
        <v>62.7</v>
      </c>
      <c r="G120" s="4">
        <v>8445.6299999999992</v>
      </c>
      <c r="H120" s="4">
        <f t="shared" si="1"/>
        <v>8445.4428000000025</v>
      </c>
      <c r="L120" s="4">
        <v>5.35</v>
      </c>
      <c r="M120" s="4">
        <v>13469.6</v>
      </c>
      <c r="N120" s="4">
        <v>720.62</v>
      </c>
      <c r="O120" s="4">
        <v>62.7</v>
      </c>
      <c r="P120" s="4">
        <v>8445.6299999999992</v>
      </c>
    </row>
    <row r="121" spans="2:16" ht="15.6">
      <c r="B121" s="13" t="s">
        <v>25</v>
      </c>
      <c r="C121" s="4">
        <v>4.6500000000000004</v>
      </c>
      <c r="D121" s="4">
        <v>13469.6</v>
      </c>
      <c r="E121" s="4">
        <f t="shared" si="0"/>
        <v>626.33640000000003</v>
      </c>
      <c r="F121" s="4">
        <v>67.349999999999994</v>
      </c>
      <c r="G121" s="4">
        <v>9071.98</v>
      </c>
      <c r="H121" s="4">
        <f t="shared" si="1"/>
        <v>9071.7792000000027</v>
      </c>
      <c r="L121" s="4">
        <v>4.6500000000000004</v>
      </c>
      <c r="M121" s="4">
        <v>13469.6</v>
      </c>
      <c r="N121" s="4">
        <v>626.34</v>
      </c>
      <c r="O121" s="4">
        <v>67.349999999999994</v>
      </c>
      <c r="P121" s="4">
        <v>9071.98</v>
      </c>
    </row>
    <row r="122" spans="2:16" ht="15.6">
      <c r="B122" s="13" t="s">
        <v>27</v>
      </c>
      <c r="C122" s="4">
        <v>4.5</v>
      </c>
      <c r="D122" s="4">
        <v>13469.6</v>
      </c>
      <c r="E122" s="4">
        <v>606.13</v>
      </c>
      <c r="F122" s="4">
        <v>71.849999999999994</v>
      </c>
      <c r="G122" s="4">
        <v>9678.1200000000008</v>
      </c>
      <c r="L122" s="4">
        <v>4.5</v>
      </c>
      <c r="M122" s="4">
        <v>13469.6</v>
      </c>
      <c r="N122" s="4">
        <v>606.13</v>
      </c>
      <c r="O122" s="4">
        <v>71.849999999999994</v>
      </c>
      <c r="P122" s="4">
        <v>9678.1200000000008</v>
      </c>
    </row>
    <row r="123" spans="2:16" ht="15.6">
      <c r="B123" s="13" t="s">
        <v>28</v>
      </c>
      <c r="C123" s="4">
        <v>5.5</v>
      </c>
      <c r="D123" s="4">
        <v>13469.6</v>
      </c>
      <c r="E123" s="4">
        <v>740.83</v>
      </c>
      <c r="F123" s="4">
        <v>77.349999999999994</v>
      </c>
      <c r="G123" s="4">
        <v>10418.969999999999</v>
      </c>
      <c r="L123" s="4">
        <v>5.5</v>
      </c>
      <c r="M123" s="4">
        <v>13469.6</v>
      </c>
      <c r="N123" s="4">
        <v>740.83</v>
      </c>
      <c r="O123" s="4">
        <v>77.349999999999994</v>
      </c>
      <c r="P123" s="4">
        <v>10418.969999999999</v>
      </c>
    </row>
    <row r="124" spans="2:16" ht="15.6">
      <c r="B124" s="13" t="s">
        <v>29</v>
      </c>
      <c r="C124" s="4">
        <v>6.3</v>
      </c>
      <c r="D124" s="4">
        <v>13469.6</v>
      </c>
      <c r="E124" s="4">
        <v>848.58</v>
      </c>
      <c r="F124" s="4">
        <v>83.65</v>
      </c>
      <c r="G124" s="4">
        <v>11267.57</v>
      </c>
      <c r="L124" s="4">
        <v>6.3</v>
      </c>
      <c r="M124" s="4">
        <v>13469.6</v>
      </c>
      <c r="N124" s="4">
        <v>848.58</v>
      </c>
      <c r="O124" s="4">
        <v>83.65</v>
      </c>
      <c r="P124" s="4">
        <v>11267.57</v>
      </c>
    </row>
    <row r="125" spans="2:16" ht="15.6">
      <c r="B125" s="13" t="s">
        <v>30</v>
      </c>
      <c r="C125" s="4">
        <v>5.35</v>
      </c>
      <c r="D125" s="4">
        <v>13469.6</v>
      </c>
      <c r="E125" s="4">
        <v>720.62</v>
      </c>
      <c r="F125" s="4">
        <v>89</v>
      </c>
      <c r="G125" s="4">
        <v>11988.21</v>
      </c>
      <c r="L125" s="4">
        <v>5.35</v>
      </c>
      <c r="M125" s="4">
        <v>13469.6</v>
      </c>
      <c r="N125" s="4">
        <v>720.62</v>
      </c>
      <c r="O125" s="4">
        <v>89</v>
      </c>
      <c r="P125" s="4">
        <v>11988.21</v>
      </c>
    </row>
    <row r="126" spans="2:16" ht="15.6">
      <c r="B126" s="13" t="s">
        <v>31</v>
      </c>
      <c r="C126" s="4">
        <v>5</v>
      </c>
      <c r="D126" s="4">
        <v>13469.6</v>
      </c>
      <c r="E126" s="4">
        <v>673.48</v>
      </c>
      <c r="F126" s="4">
        <v>94</v>
      </c>
      <c r="G126" s="4">
        <v>12661.71</v>
      </c>
      <c r="L126" s="4">
        <v>5</v>
      </c>
      <c r="M126" s="4">
        <v>13469.6</v>
      </c>
      <c r="N126" s="4">
        <v>673.48</v>
      </c>
      <c r="O126" s="4">
        <v>94</v>
      </c>
      <c r="P126" s="4">
        <v>12661.71</v>
      </c>
    </row>
    <row r="127" spans="2:16" ht="15.6">
      <c r="B127" s="13" t="s">
        <v>32</v>
      </c>
      <c r="C127" s="4">
        <v>3</v>
      </c>
      <c r="D127" s="4">
        <v>13469.6</v>
      </c>
      <c r="E127" s="4">
        <v>404.09</v>
      </c>
      <c r="F127" s="4">
        <v>97</v>
      </c>
      <c r="G127" s="4">
        <v>13065.8</v>
      </c>
      <c r="L127" s="4">
        <v>3</v>
      </c>
      <c r="M127" s="4">
        <v>13469.6</v>
      </c>
      <c r="N127" s="4">
        <v>404.09</v>
      </c>
      <c r="O127" s="4">
        <v>97</v>
      </c>
      <c r="P127" s="4">
        <v>13065.8</v>
      </c>
    </row>
    <row r="128" spans="2:16" ht="15.6">
      <c r="B128" s="13" t="s">
        <v>33</v>
      </c>
      <c r="C128" s="4">
        <v>2</v>
      </c>
      <c r="D128" s="4">
        <v>13469.6</v>
      </c>
      <c r="E128" s="4">
        <v>269.39</v>
      </c>
      <c r="F128" s="4">
        <v>99</v>
      </c>
      <c r="G128" s="4">
        <v>13335.2</v>
      </c>
      <c r="L128" s="4">
        <v>2</v>
      </c>
      <c r="M128" s="4">
        <v>13469.6</v>
      </c>
      <c r="N128" s="4">
        <v>269.39</v>
      </c>
      <c r="O128" s="4">
        <v>99</v>
      </c>
      <c r="P128" s="4">
        <v>13335.2</v>
      </c>
    </row>
    <row r="129" spans="1:8" ht="15.6">
      <c r="B129" s="13" t="s">
        <v>36</v>
      </c>
      <c r="C129" s="4">
        <v>1</v>
      </c>
      <c r="D129" s="4">
        <v>13469.6</v>
      </c>
      <c r="E129" s="4">
        <v>134.69999999999999</v>
      </c>
      <c r="F129" s="4">
        <v>100</v>
      </c>
      <c r="G129" s="4">
        <v>13469.9</v>
      </c>
    </row>
    <row r="130" spans="1:8" ht="15.6">
      <c r="B130" s="13" t="s">
        <v>34</v>
      </c>
      <c r="C130" s="4">
        <v>100</v>
      </c>
      <c r="D130" s="4">
        <v>13469.6</v>
      </c>
      <c r="E130" s="4">
        <v>13469.6</v>
      </c>
      <c r="F130" s="4">
        <v>100</v>
      </c>
      <c r="G130" s="4">
        <v>13469.9</v>
      </c>
    </row>
    <row r="132" spans="1:8" ht="15.6">
      <c r="A132" s="5" t="s">
        <v>60</v>
      </c>
    </row>
    <row r="133" spans="1:8" ht="50.4" customHeight="1">
      <c r="B133" s="97" t="s">
        <v>59</v>
      </c>
      <c r="C133" s="97"/>
      <c r="D133" s="97"/>
      <c r="E133" s="97"/>
      <c r="F133" s="97"/>
      <c r="G133" s="97"/>
      <c r="H133" s="97"/>
    </row>
    <row r="134" spans="1:8" ht="15.6">
      <c r="B134" s="1"/>
    </row>
    <row r="135" spans="1:8" ht="31.2">
      <c r="B135" s="13" t="s">
        <v>48</v>
      </c>
      <c r="C135" s="13" t="s">
        <v>49</v>
      </c>
      <c r="D135" s="13" t="s">
        <v>50</v>
      </c>
      <c r="E135" s="13" t="s">
        <v>51</v>
      </c>
      <c r="F135" s="13" t="s">
        <v>52</v>
      </c>
      <c r="G135" s="13" t="s">
        <v>53</v>
      </c>
    </row>
    <row r="136" spans="1:8" ht="15">
      <c r="B136" s="4" t="s">
        <v>54</v>
      </c>
      <c r="C136" s="4">
        <v>2320</v>
      </c>
      <c r="D136" s="4">
        <v>10</v>
      </c>
      <c r="E136" s="4" t="s">
        <v>55</v>
      </c>
      <c r="F136" s="4">
        <f>(C136*D136)/1000</f>
        <v>23.2</v>
      </c>
      <c r="G136" s="44">
        <f>(F136/24)</f>
        <v>0.96666666666666667</v>
      </c>
    </row>
    <row r="137" spans="1:8" ht="15">
      <c r="B137" s="4" t="s">
        <v>56</v>
      </c>
      <c r="C137" s="4">
        <v>1200</v>
      </c>
      <c r="D137" s="4">
        <v>20</v>
      </c>
      <c r="E137" s="4" t="s">
        <v>55</v>
      </c>
      <c r="F137" s="4">
        <f>(C137*D137)/1000</f>
        <v>24</v>
      </c>
      <c r="G137" s="44">
        <f>(F137/24)</f>
        <v>1</v>
      </c>
    </row>
    <row r="138" spans="1:8" ht="15">
      <c r="B138" s="4" t="s">
        <v>57</v>
      </c>
      <c r="C138" s="4">
        <v>1200</v>
      </c>
      <c r="D138" s="4">
        <v>20</v>
      </c>
      <c r="E138" s="4" t="s">
        <v>55</v>
      </c>
      <c r="F138" s="4">
        <f>(C138*D138)/1000</f>
        <v>24</v>
      </c>
      <c r="G138" s="44">
        <f>(F138/24)</f>
        <v>1</v>
      </c>
    </row>
    <row r="139" spans="1:8" ht="15.6">
      <c r="B139" s="13" t="s">
        <v>34</v>
      </c>
      <c r="C139" s="13">
        <v>4720</v>
      </c>
      <c r="D139" s="13">
        <v>71.2</v>
      </c>
      <c r="E139" s="13">
        <v>2.97</v>
      </c>
    </row>
    <row r="140" spans="1:8">
      <c r="B140" s="18" t="s">
        <v>58</v>
      </c>
    </row>
    <row r="143" spans="1:8" ht="15.6">
      <c r="A143" s="5"/>
    </row>
    <row r="145" spans="2:10" ht="15.6">
      <c r="B145" s="1"/>
    </row>
    <row r="147" spans="2:10" ht="15.6">
      <c r="B147" s="2"/>
    </row>
    <row r="148" spans="2:10" ht="31.2">
      <c r="B148" s="8"/>
      <c r="C148" s="9"/>
    </row>
    <row r="149" spans="2:10" ht="15.6">
      <c r="B149" s="1"/>
    </row>
    <row r="152" spans="2:10" ht="31.2">
      <c r="B152" s="8"/>
      <c r="C152" s="9"/>
    </row>
    <row r="153" spans="2:10" ht="15.6">
      <c r="B153" s="2"/>
    </row>
    <row r="154" spans="2:10" ht="15.6">
      <c r="C154" s="13"/>
      <c r="D154" s="13"/>
      <c r="E154" s="13"/>
      <c r="F154" s="13"/>
      <c r="G154" s="13"/>
      <c r="H154" s="13"/>
    </row>
    <row r="155" spans="2:10" ht="18">
      <c r="B155" s="2"/>
      <c r="C155" s="4"/>
      <c r="D155" s="4"/>
      <c r="E155" s="4"/>
      <c r="F155" s="4"/>
      <c r="G155" s="19"/>
      <c r="H155" s="20"/>
      <c r="I155" s="4"/>
      <c r="J155" s="4"/>
    </row>
    <row r="156" spans="2:10" ht="18">
      <c r="C156" s="4"/>
      <c r="D156" s="4"/>
      <c r="E156" s="4"/>
      <c r="F156" s="4"/>
      <c r="G156" s="19"/>
      <c r="H156" s="20"/>
    </row>
    <row r="157" spans="2:10" ht="18">
      <c r="B157" s="2"/>
      <c r="C157" s="4"/>
      <c r="D157" s="4"/>
      <c r="E157" s="4"/>
      <c r="F157" s="4"/>
      <c r="G157" s="19"/>
      <c r="H157" s="20"/>
    </row>
    <row r="158" spans="2:10" ht="18">
      <c r="C158" s="4"/>
      <c r="D158" s="4"/>
      <c r="E158" s="4"/>
      <c r="F158" s="4"/>
      <c r="G158" s="19"/>
      <c r="H158" s="20"/>
    </row>
    <row r="159" spans="2:10" ht="18">
      <c r="B159" s="2"/>
      <c r="C159" s="4"/>
      <c r="D159" s="4"/>
      <c r="E159" s="4"/>
      <c r="F159" s="4"/>
      <c r="G159" s="19"/>
      <c r="H159" s="20"/>
    </row>
    <row r="160" spans="2:10" ht="18">
      <c r="C160" s="4"/>
      <c r="D160" s="4"/>
      <c r="E160" s="4"/>
      <c r="F160" s="4"/>
      <c r="G160" s="19"/>
      <c r="H160" s="20"/>
    </row>
    <row r="161" spans="3:8" ht="18">
      <c r="C161" s="4"/>
      <c r="D161" s="4"/>
      <c r="E161" s="4"/>
      <c r="F161" s="4"/>
      <c r="G161" s="19"/>
      <c r="H161" s="20"/>
    </row>
    <row r="162" spans="3:8" ht="18">
      <c r="C162" s="13"/>
      <c r="D162" s="13"/>
      <c r="E162" s="13"/>
      <c r="G162" s="19"/>
      <c r="H162" s="20"/>
    </row>
    <row r="163" spans="3:8">
      <c r="C163" s="18"/>
    </row>
    <row r="179" ht="28.2" customHeight="1"/>
    <row r="229" ht="36" customHeight="1"/>
    <row r="312" ht="45.6" customHeight="1"/>
  </sheetData>
  <mergeCells count="9">
    <mergeCell ref="I3:L3"/>
    <mergeCell ref="E11:G11"/>
    <mergeCell ref="C9:G9"/>
    <mergeCell ref="A93:G93"/>
    <mergeCell ref="A97:G97"/>
    <mergeCell ref="F104:G104"/>
    <mergeCell ref="C104:E104"/>
    <mergeCell ref="B133:H133"/>
    <mergeCell ref="A3:G3"/>
  </mergeCells>
  <phoneticPr fontId="1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802D-9B8E-429F-A893-EC5D71DEF57E}">
  <dimension ref="B2:P34"/>
  <sheetViews>
    <sheetView tabSelected="1" topLeftCell="A13" zoomScale="40" zoomScaleNormal="40" workbookViewId="0">
      <selection activeCell="C29" sqref="C29:P29"/>
    </sheetView>
  </sheetViews>
  <sheetFormatPr baseColWidth="10" defaultRowHeight="14.4"/>
  <cols>
    <col min="8" max="8" width="14.109375" customWidth="1"/>
  </cols>
  <sheetData>
    <row r="2" spans="2:10" ht="31.2">
      <c r="B2" s="21" t="s">
        <v>261</v>
      </c>
      <c r="D2" s="9"/>
      <c r="E2" s="9"/>
      <c r="F2" s="9"/>
      <c r="G2" s="9"/>
      <c r="H2" s="9"/>
      <c r="I2" s="9"/>
      <c r="J2" s="9"/>
    </row>
    <row r="3" spans="2:10" ht="31.2">
      <c r="B3" s="9"/>
      <c r="C3" s="9"/>
      <c r="D3" s="9"/>
      <c r="E3" s="9"/>
      <c r="F3" s="9"/>
      <c r="G3" s="9"/>
      <c r="H3" s="9"/>
      <c r="I3" s="9"/>
      <c r="J3" s="9"/>
    </row>
    <row r="4" spans="2:10" ht="31.2">
      <c r="B4" s="9"/>
      <c r="C4" s="22" t="s">
        <v>149</v>
      </c>
      <c r="D4" s="9"/>
      <c r="E4" s="9"/>
      <c r="F4" s="9"/>
      <c r="G4" s="9"/>
      <c r="H4" s="9"/>
      <c r="I4" s="9"/>
      <c r="J4" s="9"/>
    </row>
    <row r="5" spans="2:10" ht="31.2">
      <c r="B5" s="9"/>
      <c r="C5" s="58" t="s">
        <v>186</v>
      </c>
      <c r="D5" s="9"/>
      <c r="E5" s="9"/>
      <c r="F5" s="9"/>
      <c r="G5" s="9"/>
      <c r="H5" s="9"/>
      <c r="I5" s="9"/>
      <c r="J5" s="9"/>
    </row>
    <row r="6" spans="2:10" ht="31.2">
      <c r="B6" s="9"/>
      <c r="C6" s="58" t="s">
        <v>187</v>
      </c>
      <c r="D6" s="9"/>
      <c r="E6" s="9"/>
      <c r="F6" s="9"/>
      <c r="G6" s="9"/>
      <c r="H6" s="9"/>
      <c r="I6" s="9"/>
      <c r="J6" s="9"/>
    </row>
    <row r="7" spans="2:10" ht="31.2">
      <c r="B7" s="9"/>
      <c r="C7" s="58" t="s">
        <v>188</v>
      </c>
      <c r="D7" s="9"/>
      <c r="E7" s="9"/>
      <c r="F7" s="9"/>
      <c r="G7" s="9"/>
      <c r="H7" s="9"/>
      <c r="I7" s="9"/>
      <c r="J7" s="9"/>
    </row>
    <row r="8" spans="2:10" ht="31.2">
      <c r="B8" s="9"/>
      <c r="C8" s="22" t="s">
        <v>150</v>
      </c>
      <c r="D8" s="9"/>
      <c r="E8" s="9"/>
      <c r="F8" s="9"/>
      <c r="G8" s="9"/>
      <c r="H8" s="9"/>
      <c r="I8" s="9"/>
      <c r="J8" s="9"/>
    </row>
    <row r="9" spans="2:10" ht="31.2">
      <c r="B9" s="9"/>
      <c r="C9" s="58" t="s">
        <v>189</v>
      </c>
      <c r="D9" s="9"/>
      <c r="E9" s="9"/>
      <c r="F9" s="9"/>
      <c r="G9" s="9"/>
      <c r="H9" s="9"/>
      <c r="I9" s="9"/>
      <c r="J9" s="9"/>
    </row>
    <row r="10" spans="2:10" ht="31.2">
      <c r="B10" s="9"/>
      <c r="C10" s="58" t="s">
        <v>190</v>
      </c>
      <c r="D10" s="9"/>
      <c r="E10" s="9"/>
      <c r="F10" s="9"/>
      <c r="G10" s="9"/>
      <c r="H10" s="9"/>
      <c r="I10" s="9"/>
      <c r="J10" s="9"/>
    </row>
    <row r="11" spans="2:10" ht="31.2">
      <c r="B11" s="9"/>
      <c r="C11" s="22" t="s">
        <v>151</v>
      </c>
      <c r="D11" s="9"/>
      <c r="E11" s="9"/>
      <c r="F11" s="9"/>
      <c r="G11" s="9"/>
      <c r="H11" s="9"/>
      <c r="I11" s="9"/>
      <c r="J11" s="9"/>
    </row>
    <row r="12" spans="2:10" ht="31.2">
      <c r="B12" s="9"/>
      <c r="C12" s="58" t="s">
        <v>191</v>
      </c>
      <c r="D12" s="9"/>
      <c r="E12" s="9"/>
      <c r="F12" s="9"/>
      <c r="G12" s="9"/>
      <c r="H12" s="9"/>
      <c r="I12" s="9"/>
      <c r="J12" s="9"/>
    </row>
    <row r="13" spans="2:10" ht="31.2">
      <c r="B13" s="9"/>
      <c r="C13" s="58" t="s">
        <v>192</v>
      </c>
      <c r="D13" s="9"/>
      <c r="E13" s="9"/>
      <c r="F13" s="9"/>
      <c r="G13" s="9"/>
      <c r="H13" s="9"/>
      <c r="I13" s="9"/>
      <c r="J13" s="9"/>
    </row>
    <row r="14" spans="2:10" ht="31.2">
      <c r="B14" s="9"/>
      <c r="C14" s="58" t="s">
        <v>193</v>
      </c>
      <c r="D14" s="9"/>
      <c r="E14" s="9"/>
      <c r="F14" s="9"/>
      <c r="G14" s="9"/>
      <c r="H14" s="9"/>
      <c r="I14" s="9"/>
      <c r="J14" s="9"/>
    </row>
    <row r="15" spans="2:10" ht="31.2">
      <c r="B15" s="9"/>
      <c r="C15" s="22" t="s">
        <v>152</v>
      </c>
      <c r="D15" s="9"/>
      <c r="E15" s="9"/>
      <c r="F15" s="9"/>
      <c r="G15" s="9"/>
      <c r="H15" s="9"/>
      <c r="I15" s="9"/>
      <c r="J15" s="9"/>
    </row>
    <row r="16" spans="2:10" ht="31.2">
      <c r="B16" s="9"/>
      <c r="C16" s="22" t="s">
        <v>153</v>
      </c>
      <c r="D16" s="9"/>
      <c r="E16" s="9"/>
      <c r="F16" s="9"/>
      <c r="G16" s="9"/>
      <c r="H16" s="9"/>
      <c r="I16" s="9"/>
      <c r="J16" s="9"/>
    </row>
    <row r="17" spans="2:16" ht="31.2">
      <c r="B17" s="9"/>
      <c r="C17" s="22" t="s">
        <v>194</v>
      </c>
      <c r="D17" s="9"/>
      <c r="E17" s="9"/>
      <c r="F17" s="9"/>
      <c r="G17" s="9"/>
      <c r="H17" s="9"/>
      <c r="I17" s="9"/>
      <c r="J17" s="9"/>
    </row>
    <row r="18" spans="2:16" ht="31.2">
      <c r="B18" s="9"/>
      <c r="D18" s="9"/>
      <c r="E18" s="9"/>
      <c r="F18" s="9"/>
      <c r="G18" s="9"/>
      <c r="H18" s="9"/>
      <c r="I18" s="9"/>
      <c r="J18" s="9"/>
    </row>
    <row r="19" spans="2:16" ht="31.2">
      <c r="B19" s="9"/>
      <c r="C19" s="30" t="s">
        <v>154</v>
      </c>
      <c r="D19" s="9"/>
      <c r="E19" s="9"/>
      <c r="F19" s="9"/>
      <c r="G19" s="9"/>
      <c r="H19" s="9"/>
      <c r="I19" s="9"/>
      <c r="J19" s="9"/>
    </row>
    <row r="20" spans="2:16" ht="31.2">
      <c r="B20" s="9"/>
      <c r="D20" s="9"/>
      <c r="E20" s="9"/>
      <c r="F20" s="9"/>
      <c r="G20" s="9"/>
      <c r="H20" s="9"/>
      <c r="I20" s="9"/>
      <c r="J20" s="9"/>
    </row>
    <row r="21" spans="2:16" ht="31.2">
      <c r="B21" s="9"/>
      <c r="C21" s="22" t="s">
        <v>195</v>
      </c>
      <c r="D21" s="9"/>
      <c r="E21" s="9"/>
      <c r="F21" s="9"/>
      <c r="G21" s="9"/>
      <c r="H21" s="9"/>
      <c r="I21" s="9"/>
      <c r="J21" s="9"/>
    </row>
    <row r="22" spans="2:16" ht="31.2">
      <c r="B22" s="9"/>
      <c r="C22" s="22" t="s">
        <v>196</v>
      </c>
      <c r="D22" s="9"/>
      <c r="E22" s="9"/>
      <c r="F22" s="9"/>
      <c r="G22" s="9"/>
      <c r="H22" s="9"/>
      <c r="I22" s="9"/>
      <c r="J22" s="9"/>
    </row>
    <row r="23" spans="2:16" ht="31.2">
      <c r="B23" s="9"/>
      <c r="C23" s="22" t="s">
        <v>197</v>
      </c>
      <c r="D23" s="9"/>
      <c r="E23" s="9"/>
      <c r="F23" s="9"/>
      <c r="G23" s="9"/>
      <c r="H23" s="9"/>
      <c r="I23" s="9"/>
      <c r="J23" s="9"/>
    </row>
    <row r="24" spans="2:16" ht="31.2">
      <c r="B24" s="9"/>
      <c r="C24" s="9" t="s">
        <v>156</v>
      </c>
      <c r="D24" s="9"/>
      <c r="E24" s="9"/>
      <c r="F24" s="9"/>
      <c r="G24" s="9"/>
      <c r="H24" s="9"/>
      <c r="I24" s="9"/>
      <c r="J24" s="9"/>
    </row>
    <row r="25" spans="2:16" ht="31.2">
      <c r="B25" s="9"/>
      <c r="C25" s="9"/>
      <c r="D25" s="9"/>
      <c r="E25" s="9"/>
      <c r="F25" s="9"/>
      <c r="G25" s="9"/>
      <c r="H25" s="9"/>
      <c r="I25" s="9"/>
      <c r="J25" s="9"/>
    </row>
    <row r="26" spans="2:16" ht="57" customHeight="1">
      <c r="B26" s="9"/>
      <c r="C26" s="119" t="s">
        <v>262</v>
      </c>
      <c r="D26" s="119"/>
      <c r="E26" s="119"/>
      <c r="F26" s="119"/>
      <c r="G26" s="119"/>
      <c r="H26" s="119"/>
      <c r="I26" s="119"/>
      <c r="J26" s="119"/>
      <c r="K26" s="119"/>
      <c r="L26" s="119"/>
      <c r="M26" s="119"/>
      <c r="N26" s="119"/>
      <c r="O26" s="119"/>
      <c r="P26" s="119"/>
    </row>
    <row r="27" spans="2:16" ht="31.2">
      <c r="B27" s="9"/>
      <c r="C27" s="9"/>
      <c r="D27" s="9"/>
      <c r="E27" s="9"/>
      <c r="F27" s="9"/>
      <c r="G27" s="9"/>
      <c r="H27" s="9"/>
      <c r="I27" s="9"/>
      <c r="J27" s="9"/>
    </row>
    <row r="28" spans="2:16" ht="31.2">
      <c r="B28" s="21" t="s">
        <v>263</v>
      </c>
      <c r="D28" s="9"/>
      <c r="E28" s="9"/>
      <c r="F28" s="9"/>
      <c r="G28" s="9"/>
      <c r="H28" s="9"/>
      <c r="I28" s="9"/>
      <c r="J28" s="9"/>
    </row>
    <row r="29" spans="2:16" ht="117" customHeight="1">
      <c r="B29" s="9"/>
      <c r="C29" s="123" t="s">
        <v>265</v>
      </c>
      <c r="D29" s="123"/>
      <c r="E29" s="123"/>
      <c r="F29" s="123"/>
      <c r="G29" s="123"/>
      <c r="H29" s="123"/>
      <c r="I29" s="123"/>
      <c r="J29" s="123"/>
      <c r="K29" s="123"/>
      <c r="L29" s="123"/>
      <c r="M29" s="123"/>
      <c r="N29" s="123"/>
      <c r="O29" s="123"/>
      <c r="P29" s="123"/>
    </row>
    <row r="30" spans="2:16" ht="31.2">
      <c r="B30" s="9"/>
      <c r="C30" s="22" t="s">
        <v>155</v>
      </c>
      <c r="D30" s="9"/>
      <c r="E30" s="9"/>
      <c r="F30" s="9"/>
      <c r="G30" s="9"/>
      <c r="H30" s="9"/>
      <c r="I30" s="9"/>
      <c r="J30" s="9"/>
    </row>
    <row r="31" spans="2:16" ht="31.2">
      <c r="B31" s="9"/>
      <c r="C31" s="9"/>
      <c r="D31" s="9"/>
      <c r="E31" s="9"/>
      <c r="F31" s="9"/>
      <c r="G31" s="9"/>
      <c r="H31" s="9"/>
      <c r="I31" s="9"/>
      <c r="J31" s="9"/>
    </row>
    <row r="32" spans="2:16" ht="31.2">
      <c r="B32" s="9"/>
      <c r="C32" s="22" t="s">
        <v>198</v>
      </c>
      <c r="D32" s="9"/>
      <c r="E32" s="9"/>
      <c r="F32" s="9"/>
      <c r="G32" s="9"/>
      <c r="H32" s="9"/>
      <c r="I32" s="9"/>
      <c r="J32" s="9"/>
    </row>
    <row r="33" spans="2:10" ht="31.2">
      <c r="B33" s="9"/>
      <c r="C33" s="9"/>
      <c r="D33" s="9"/>
      <c r="E33" s="9"/>
      <c r="F33" s="9"/>
      <c r="G33" s="9"/>
      <c r="H33" s="9"/>
      <c r="I33" s="9"/>
      <c r="J33" s="9"/>
    </row>
    <row r="34" spans="2:10" ht="33">
      <c r="B34" s="9"/>
      <c r="C34" s="59" t="s">
        <v>157</v>
      </c>
      <c r="D34" s="9"/>
      <c r="E34" s="9"/>
      <c r="F34" s="9"/>
      <c r="G34" s="9"/>
      <c r="H34" s="9"/>
      <c r="I34" s="93" t="s">
        <v>226</v>
      </c>
      <c r="J34" s="26" t="s">
        <v>264</v>
      </c>
    </row>
  </sheetData>
  <mergeCells count="2">
    <mergeCell ref="C29:P29"/>
    <mergeCell ref="C26:P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FBB1C-5A8C-4E09-9991-0113906BC5CB}">
  <dimension ref="A2:L18"/>
  <sheetViews>
    <sheetView zoomScale="60" zoomScaleNormal="60" workbookViewId="0">
      <selection activeCell="H11" sqref="H11"/>
    </sheetView>
  </sheetViews>
  <sheetFormatPr baseColWidth="10" defaultRowHeight="14.4"/>
  <cols>
    <col min="1" max="1" width="23.6640625" customWidth="1"/>
    <col min="3" max="3" width="22.77734375" customWidth="1"/>
  </cols>
  <sheetData>
    <row r="2" spans="1:12" ht="33">
      <c r="B2" s="23" t="s">
        <v>217</v>
      </c>
    </row>
    <row r="4" spans="1:12" ht="33">
      <c r="B4" s="23" t="s">
        <v>218</v>
      </c>
    </row>
    <row r="5" spans="1:12" ht="55.8" customHeight="1">
      <c r="A5" s="105" t="s">
        <v>0</v>
      </c>
      <c r="B5" s="95"/>
      <c r="C5" s="95"/>
      <c r="D5" s="95"/>
      <c r="E5" s="95"/>
      <c r="F5" s="95"/>
      <c r="G5" s="95"/>
      <c r="H5" s="95"/>
      <c r="I5" s="95"/>
      <c r="J5" s="95"/>
      <c r="K5" s="95"/>
      <c r="L5" s="95"/>
    </row>
    <row r="6" spans="1:12" ht="33">
      <c r="A6" s="9" t="s">
        <v>158</v>
      </c>
      <c r="B6" s="23"/>
    </row>
    <row r="8" spans="1:12" ht="63.6" customHeight="1">
      <c r="A8" s="70" t="s">
        <v>219</v>
      </c>
      <c r="B8" s="71"/>
      <c r="C8" s="71"/>
      <c r="D8" s="71"/>
      <c r="E8" s="106" t="s">
        <v>228</v>
      </c>
      <c r="F8" s="106"/>
      <c r="G8" s="106"/>
      <c r="I8" s="25" t="s">
        <v>226</v>
      </c>
      <c r="J8" s="106">
        <f>(55727.8*180/1000)</f>
        <v>10031.004000000001</v>
      </c>
      <c r="K8" s="106"/>
    </row>
    <row r="13" spans="1:12" ht="31.2">
      <c r="A13" s="9"/>
    </row>
    <row r="14" spans="1:12" ht="69" customHeight="1"/>
    <row r="15" spans="1:12" ht="30">
      <c r="A15" s="22"/>
    </row>
    <row r="17" spans="1:1" ht="30">
      <c r="A17" s="22"/>
    </row>
    <row r="18" spans="1:1" ht="31.2">
      <c r="A18" s="9"/>
    </row>
  </sheetData>
  <mergeCells count="3">
    <mergeCell ref="A5:L5"/>
    <mergeCell ref="J8:K8"/>
    <mergeCell ref="E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C60B-4F9F-4619-896A-713589CFE90C}">
  <dimension ref="A2:N17"/>
  <sheetViews>
    <sheetView zoomScale="40" zoomScaleNormal="40" workbookViewId="0">
      <selection activeCell="G9" sqref="G9:N9"/>
    </sheetView>
  </sheetViews>
  <sheetFormatPr baseColWidth="10" defaultRowHeight="14.4"/>
  <cols>
    <col min="1" max="1" width="19.33203125" customWidth="1"/>
    <col min="2" max="2" width="15.77734375" bestFit="1" customWidth="1"/>
    <col min="11" max="11" width="21.88671875" customWidth="1"/>
  </cols>
  <sheetData>
    <row r="2" spans="1:14" ht="33">
      <c r="A2" s="73"/>
      <c r="B2" s="73"/>
      <c r="C2" s="73"/>
      <c r="D2" s="73"/>
      <c r="E2" s="73"/>
      <c r="F2" s="73"/>
      <c r="G2" s="23" t="s">
        <v>2</v>
      </c>
      <c r="H2" s="73"/>
      <c r="I2" s="73"/>
      <c r="J2" s="73"/>
      <c r="K2" s="73"/>
      <c r="L2" s="73"/>
      <c r="M2" s="73"/>
      <c r="N2" s="73"/>
    </row>
    <row r="3" spans="1:14" ht="15.6">
      <c r="A3" s="73"/>
      <c r="B3" s="73"/>
      <c r="C3" s="73"/>
      <c r="D3" s="73"/>
      <c r="E3" s="73"/>
      <c r="F3" s="73"/>
      <c r="G3" s="73"/>
      <c r="H3" s="73"/>
      <c r="I3" s="73"/>
      <c r="J3" s="73"/>
      <c r="K3" s="73"/>
      <c r="L3" s="73"/>
      <c r="M3" s="73"/>
      <c r="N3" s="73"/>
    </row>
    <row r="4" spans="1:14" ht="15.6">
      <c r="A4" s="73"/>
      <c r="B4" s="73"/>
      <c r="C4" s="73"/>
      <c r="D4" s="73"/>
      <c r="E4" s="73"/>
      <c r="F4" s="73"/>
      <c r="G4" s="73"/>
      <c r="H4" s="73"/>
      <c r="I4" s="73"/>
      <c r="J4" s="73"/>
      <c r="K4" s="73"/>
      <c r="L4" s="73"/>
      <c r="M4" s="73"/>
      <c r="N4" s="73"/>
    </row>
    <row r="5" spans="1:14" ht="33">
      <c r="A5" s="23" t="s">
        <v>3</v>
      </c>
      <c r="B5" s="73"/>
      <c r="C5" s="73"/>
      <c r="D5" s="73"/>
      <c r="E5" s="73"/>
      <c r="F5" s="73"/>
      <c r="G5" s="73"/>
      <c r="H5" s="73"/>
      <c r="I5" s="73"/>
      <c r="J5" s="73"/>
      <c r="K5" s="73"/>
      <c r="L5" s="73"/>
      <c r="M5" s="73"/>
      <c r="N5" s="73"/>
    </row>
    <row r="6" spans="1:14" ht="33">
      <c r="A6" s="35" t="s">
        <v>4</v>
      </c>
      <c r="B6" s="73"/>
      <c r="C6" s="73"/>
      <c r="D6" s="73"/>
      <c r="E6" s="73"/>
      <c r="F6" s="73"/>
      <c r="G6" s="73"/>
      <c r="H6" s="73"/>
      <c r="I6" s="73"/>
      <c r="J6" s="73"/>
      <c r="K6" s="73"/>
      <c r="L6" s="73"/>
      <c r="M6" s="73"/>
      <c r="N6" s="73"/>
    </row>
    <row r="7" spans="1:14" ht="106.2" customHeight="1">
      <c r="A7" s="25" t="s">
        <v>160</v>
      </c>
      <c r="B7" s="109" t="s">
        <v>159</v>
      </c>
      <c r="C7" s="109"/>
      <c r="D7" s="109"/>
      <c r="E7" s="109"/>
      <c r="F7" s="109"/>
      <c r="G7" s="109"/>
      <c r="H7" s="109"/>
      <c r="I7" s="109"/>
      <c r="J7" s="109"/>
      <c r="K7" s="109"/>
      <c r="L7" s="109"/>
      <c r="M7" s="109"/>
      <c r="N7" s="109"/>
    </row>
    <row r="8" spans="1:14" ht="33">
      <c r="A8" s="25" t="s">
        <v>161</v>
      </c>
      <c r="B8" s="35" t="s">
        <v>162</v>
      </c>
      <c r="C8" s="73"/>
      <c r="D8" s="73"/>
      <c r="E8" s="73"/>
      <c r="F8" s="73"/>
      <c r="G8" s="73"/>
      <c r="H8" s="73"/>
      <c r="I8" s="73"/>
      <c r="J8" s="73"/>
      <c r="K8" s="73"/>
      <c r="L8" s="73"/>
      <c r="M8" s="73"/>
      <c r="N8" s="73"/>
    </row>
    <row r="9" spans="1:14" ht="59.4" customHeight="1">
      <c r="A9" s="25" t="s">
        <v>164</v>
      </c>
      <c r="B9" s="66" t="s">
        <v>163</v>
      </c>
      <c r="C9" s="73"/>
      <c r="D9" s="73"/>
      <c r="E9" s="73"/>
      <c r="F9" s="73"/>
      <c r="G9" s="107" t="s">
        <v>229</v>
      </c>
      <c r="H9" s="108"/>
      <c r="I9" s="108"/>
      <c r="J9" s="108"/>
      <c r="K9" s="108"/>
      <c r="L9" s="108"/>
      <c r="M9" s="108"/>
      <c r="N9" s="108"/>
    </row>
    <row r="10" spans="1:14" ht="41.4" customHeight="1">
      <c r="A10" s="75" t="s">
        <v>221</v>
      </c>
      <c r="B10" s="76"/>
      <c r="C10" s="76"/>
      <c r="D10" s="76"/>
    </row>
    <row r="11" spans="1:14">
      <c r="D11" s="7"/>
      <c r="E11" s="7"/>
      <c r="F11" s="7"/>
      <c r="G11" s="7"/>
      <c r="H11" s="7"/>
      <c r="I11" s="7"/>
    </row>
    <row r="12" spans="1:14" ht="33">
      <c r="A12" s="26" t="s">
        <v>220</v>
      </c>
      <c r="B12" s="25">
        <v>10031</v>
      </c>
      <c r="D12" s="7"/>
      <c r="E12" s="7"/>
      <c r="F12" s="7"/>
      <c r="G12" s="7"/>
      <c r="H12" s="7"/>
      <c r="I12" s="7"/>
    </row>
    <row r="14" spans="1:14" ht="33">
      <c r="A14" s="26" t="s">
        <v>222</v>
      </c>
      <c r="B14" s="26" t="s">
        <v>223</v>
      </c>
    </row>
    <row r="15" spans="1:14" ht="33">
      <c r="A15" s="74" t="s">
        <v>224</v>
      </c>
      <c r="B15" s="71"/>
      <c r="C15" s="71"/>
      <c r="D15" s="71"/>
      <c r="E15" s="71"/>
      <c r="F15" s="71"/>
      <c r="J15" s="27" t="s">
        <v>5</v>
      </c>
      <c r="K15" s="28">
        <f>(B12*1.4)</f>
        <v>14043.4</v>
      </c>
      <c r="L15" s="27" t="s">
        <v>6</v>
      </c>
    </row>
    <row r="16" spans="1:14" ht="33">
      <c r="A16" s="72" t="s">
        <v>178</v>
      </c>
      <c r="C16" s="25" t="s">
        <v>225</v>
      </c>
      <c r="E16" s="25" t="s">
        <v>226</v>
      </c>
      <c r="F16" s="110">
        <f>(14043.4/24)</f>
        <v>585.14166666666665</v>
      </c>
      <c r="G16" s="110"/>
    </row>
    <row r="17" spans="11:11">
      <c r="K17">
        <v>585.14</v>
      </c>
    </row>
  </sheetData>
  <mergeCells count="3">
    <mergeCell ref="G9:N9"/>
    <mergeCell ref="B7:N7"/>
    <mergeCell ref="F16:G1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75460-023F-4F9E-AB1A-D00771220092}">
  <dimension ref="A2:P56"/>
  <sheetViews>
    <sheetView zoomScale="40" zoomScaleNormal="40" workbookViewId="0">
      <selection activeCell="H28" sqref="H28"/>
    </sheetView>
  </sheetViews>
  <sheetFormatPr baseColWidth="10" defaultRowHeight="14.4"/>
  <cols>
    <col min="1" max="1" width="17.6640625" customWidth="1"/>
    <col min="2" max="2" width="13.88671875" bestFit="1" customWidth="1"/>
    <col min="3" max="3" width="11.88671875" bestFit="1" customWidth="1"/>
    <col min="4" max="4" width="21.44140625" bestFit="1" customWidth="1"/>
    <col min="5" max="5" width="17.109375" bestFit="1" customWidth="1"/>
    <col min="6" max="6" width="19.6640625" customWidth="1"/>
    <col min="8" max="8" width="13.44140625" bestFit="1" customWidth="1"/>
    <col min="9" max="9" width="11.5546875" customWidth="1"/>
  </cols>
  <sheetData>
    <row r="2" spans="1:16" ht="33">
      <c r="B2" s="23" t="s">
        <v>227</v>
      </c>
      <c r="J2" s="26"/>
    </row>
    <row r="5" spans="1:16" ht="31.2">
      <c r="A5" s="9"/>
      <c r="B5" s="22" t="s">
        <v>7</v>
      </c>
      <c r="C5" s="9"/>
      <c r="D5" s="9"/>
      <c r="E5" s="9"/>
      <c r="F5" s="9"/>
      <c r="G5" s="9"/>
      <c r="H5" s="9"/>
      <c r="I5" s="9"/>
      <c r="J5" s="9"/>
    </row>
    <row r="6" spans="1:16" ht="31.2">
      <c r="A6" s="9"/>
      <c r="B6" s="9"/>
      <c r="C6" s="9"/>
      <c r="D6" s="9"/>
      <c r="E6" s="9"/>
      <c r="F6" s="9"/>
      <c r="G6" s="9"/>
      <c r="H6" s="9"/>
      <c r="I6" s="9"/>
      <c r="J6" s="9"/>
    </row>
    <row r="7" spans="1:16" ht="33">
      <c r="A7" s="25" t="s">
        <v>165</v>
      </c>
      <c r="B7" s="22" t="s">
        <v>179</v>
      </c>
      <c r="C7" s="9"/>
      <c r="D7" s="9"/>
      <c r="E7" s="9"/>
      <c r="F7" s="9"/>
      <c r="G7" s="9"/>
      <c r="H7" s="9"/>
      <c r="I7" s="9"/>
      <c r="J7" s="9"/>
    </row>
    <row r="8" spans="1:16" ht="33">
      <c r="A8" s="25" t="s">
        <v>180</v>
      </c>
      <c r="B8" s="9" t="s">
        <v>181</v>
      </c>
      <c r="C8" s="9"/>
      <c r="D8" s="9"/>
      <c r="E8" s="9"/>
      <c r="F8" s="9"/>
      <c r="G8" s="9"/>
      <c r="H8" s="9"/>
      <c r="I8" s="9"/>
      <c r="J8" s="9"/>
    </row>
    <row r="9" spans="1:16" ht="33">
      <c r="A9" s="9"/>
      <c r="B9" s="8" t="s">
        <v>8</v>
      </c>
      <c r="D9" s="8">
        <f>('3 Q MAX JOURNALIER'!K15/24)</f>
        <v>585.14166666666665</v>
      </c>
      <c r="E9" s="9"/>
      <c r="F9" s="37">
        <v>585.14</v>
      </c>
      <c r="G9" s="9"/>
      <c r="H9" s="9"/>
      <c r="I9" s="9"/>
      <c r="J9" s="9"/>
    </row>
    <row r="10" spans="1:16" ht="33">
      <c r="A10" s="9"/>
      <c r="B10" s="8"/>
      <c r="D10" s="8"/>
      <c r="E10" s="9"/>
      <c r="F10" s="37"/>
      <c r="G10" s="9"/>
      <c r="H10" s="9"/>
      <c r="I10" s="9"/>
      <c r="J10" s="9"/>
    </row>
    <row r="11" spans="1:16" ht="33">
      <c r="A11" s="9"/>
      <c r="B11" s="23" t="s">
        <v>230</v>
      </c>
      <c r="C11" s="9"/>
      <c r="D11" s="9"/>
      <c r="E11" s="9"/>
      <c r="F11" s="9"/>
      <c r="G11" s="9"/>
      <c r="H11" s="9"/>
      <c r="J11" s="9"/>
    </row>
    <row r="12" spans="1:16" ht="31.2">
      <c r="A12" s="9"/>
      <c r="B12" s="22"/>
      <c r="C12" s="9"/>
      <c r="D12" s="9"/>
      <c r="E12" s="9"/>
      <c r="F12" s="9"/>
      <c r="G12" s="9"/>
      <c r="H12" s="9"/>
      <c r="I12" s="9"/>
      <c r="J12" s="9"/>
    </row>
    <row r="13" spans="1:16" s="77" customFormat="1" ht="60" customHeight="1">
      <c r="A13" s="79" t="s">
        <v>168</v>
      </c>
      <c r="B13" s="109" t="s">
        <v>167</v>
      </c>
      <c r="C13" s="113"/>
      <c r="D13" s="113"/>
      <c r="E13" s="113"/>
      <c r="F13" s="113"/>
      <c r="G13" s="113"/>
      <c r="H13" s="113"/>
      <c r="I13" s="113"/>
      <c r="J13" s="113"/>
      <c r="K13" s="113"/>
      <c r="L13" s="113"/>
      <c r="M13" s="113"/>
      <c r="N13" s="113"/>
      <c r="O13" s="113"/>
      <c r="P13" s="113"/>
    </row>
    <row r="14" spans="1:16" ht="68.400000000000006" customHeight="1">
      <c r="A14" s="79" t="s">
        <v>169</v>
      </c>
      <c r="B14" s="109" t="s">
        <v>231</v>
      </c>
      <c r="C14" s="113"/>
      <c r="D14" s="113"/>
      <c r="E14" s="113"/>
      <c r="F14" s="113"/>
      <c r="G14" s="113"/>
      <c r="H14" s="113"/>
      <c r="I14" s="113"/>
      <c r="J14" s="113"/>
      <c r="K14" s="113"/>
      <c r="L14" s="113"/>
      <c r="M14" s="113"/>
      <c r="N14" s="113"/>
      <c r="O14" s="113"/>
      <c r="P14" s="113"/>
    </row>
    <row r="15" spans="1:16" ht="67.2" customHeight="1">
      <c r="A15" s="25" t="s">
        <v>170</v>
      </c>
      <c r="B15" s="109" t="s">
        <v>232</v>
      </c>
      <c r="C15" s="113"/>
      <c r="D15" s="113"/>
      <c r="E15" s="113"/>
      <c r="F15" s="113"/>
      <c r="G15" s="113"/>
      <c r="H15" s="113"/>
      <c r="I15" s="113"/>
      <c r="J15" s="113"/>
      <c r="K15" s="113"/>
      <c r="L15" s="113"/>
      <c r="M15" s="113"/>
      <c r="N15" s="113"/>
      <c r="O15" s="113"/>
      <c r="P15" s="113"/>
    </row>
    <row r="16" spans="1:16" ht="31.2">
      <c r="A16" s="9"/>
      <c r="B16" s="9"/>
      <c r="C16" s="9"/>
      <c r="D16" s="9"/>
      <c r="E16" s="9"/>
      <c r="F16" s="9"/>
      <c r="G16" s="9"/>
      <c r="H16" s="9"/>
      <c r="I16" s="9"/>
      <c r="J16" s="9"/>
    </row>
    <row r="17" spans="1:15" ht="33">
      <c r="A17" s="25" t="s">
        <v>172</v>
      </c>
      <c r="B17" s="22" t="s">
        <v>171</v>
      </c>
      <c r="C17" s="9"/>
      <c r="D17" s="9"/>
      <c r="E17" s="9"/>
      <c r="F17" s="9"/>
      <c r="G17" s="9"/>
      <c r="H17" s="9"/>
      <c r="I17" s="9"/>
      <c r="J17" s="9"/>
    </row>
    <row r="18" spans="1:15" ht="31.2">
      <c r="A18" s="9"/>
      <c r="B18" s="22" t="s">
        <v>166</v>
      </c>
      <c r="C18" s="9"/>
      <c r="D18" s="9"/>
      <c r="E18" s="9"/>
      <c r="F18" s="9"/>
      <c r="G18" s="9"/>
      <c r="H18" s="9"/>
      <c r="I18" s="9"/>
      <c r="J18" s="9"/>
    </row>
    <row r="19" spans="1:15" ht="42" customHeight="1">
      <c r="A19" s="25" t="s">
        <v>173</v>
      </c>
      <c r="B19" s="105" t="s">
        <v>233</v>
      </c>
      <c r="C19" s="95"/>
      <c r="D19" s="95"/>
      <c r="E19" s="95"/>
      <c r="F19" s="95"/>
      <c r="G19" s="95"/>
      <c r="H19" s="95"/>
      <c r="I19" s="95"/>
      <c r="J19" s="95"/>
      <c r="K19" s="95"/>
      <c r="L19" s="95"/>
      <c r="M19" s="95"/>
      <c r="N19" s="95"/>
      <c r="O19" s="95"/>
    </row>
    <row r="20" spans="1:15" ht="31.2">
      <c r="A20" s="9"/>
    </row>
    <row r="21" spans="1:15" ht="43.8" customHeight="1">
      <c r="A21" s="79" t="s">
        <v>211</v>
      </c>
      <c r="B21" s="69" t="s">
        <v>234</v>
      </c>
      <c r="C21" s="9"/>
      <c r="D21" s="9"/>
      <c r="E21" s="78"/>
      <c r="F21" s="9"/>
      <c r="G21" s="9"/>
      <c r="H21" s="9"/>
      <c r="I21" s="9"/>
      <c r="J21" s="9"/>
    </row>
    <row r="22" spans="1:15" ht="29.4" customHeight="1">
      <c r="A22" s="79"/>
      <c r="B22" s="69"/>
      <c r="C22" s="9"/>
      <c r="D22" s="9"/>
      <c r="E22" s="78"/>
      <c r="F22" s="9"/>
      <c r="G22" s="9"/>
      <c r="H22" s="9"/>
      <c r="I22" s="9"/>
      <c r="J22" s="9"/>
    </row>
    <row r="23" spans="1:15" ht="64.2" customHeight="1">
      <c r="A23" s="9"/>
      <c r="B23" s="105" t="s">
        <v>235</v>
      </c>
      <c r="C23" s="95"/>
      <c r="D23" s="95"/>
      <c r="E23" s="95"/>
      <c r="F23" s="95"/>
      <c r="G23" s="95"/>
      <c r="H23" s="95"/>
      <c r="I23" s="95"/>
      <c r="J23" s="95"/>
      <c r="K23" s="95"/>
      <c r="L23" s="95"/>
      <c r="M23" s="11"/>
      <c r="N23" s="11"/>
      <c r="O23" s="11"/>
    </row>
    <row r="24" spans="1:15" ht="31.2">
      <c r="A24" s="9"/>
      <c r="B24" s="9"/>
      <c r="C24" s="9"/>
      <c r="D24" s="9"/>
      <c r="E24" s="9"/>
      <c r="F24" s="9"/>
      <c r="G24" s="9"/>
      <c r="H24" s="9"/>
      <c r="I24" s="9"/>
      <c r="J24" s="9"/>
    </row>
    <row r="25" spans="1:15" ht="31.2">
      <c r="A25" s="9"/>
      <c r="B25" s="22" t="s">
        <v>11</v>
      </c>
      <c r="C25" s="9"/>
      <c r="D25" s="9"/>
      <c r="E25" s="9"/>
      <c r="F25" s="9"/>
      <c r="G25" s="9"/>
      <c r="H25" s="9"/>
      <c r="I25" s="9"/>
      <c r="J25" s="9"/>
    </row>
    <row r="26" spans="1:15" ht="31.2">
      <c r="A26" s="9"/>
      <c r="B26" s="22" t="s">
        <v>236</v>
      </c>
      <c r="C26" s="9"/>
      <c r="D26" s="9"/>
      <c r="E26" s="9"/>
      <c r="F26" s="9"/>
      <c r="G26" s="9"/>
      <c r="H26" s="9"/>
      <c r="I26" s="9"/>
      <c r="J26" s="9"/>
    </row>
    <row r="27" spans="1:15" ht="31.2">
      <c r="A27" s="9"/>
      <c r="B27" s="9"/>
      <c r="C27" s="9"/>
      <c r="D27" s="9"/>
      <c r="E27" s="22" t="s">
        <v>174</v>
      </c>
      <c r="F27" s="9"/>
      <c r="G27" s="9"/>
      <c r="H27" s="9"/>
      <c r="I27" s="111">
        <f>(100000-50000)</f>
        <v>50000</v>
      </c>
      <c r="J27" s="111"/>
    </row>
    <row r="28" spans="1:15" ht="33">
      <c r="A28" s="9"/>
      <c r="B28" s="22" t="s">
        <v>12</v>
      </c>
      <c r="C28" s="9"/>
      <c r="D28" s="9"/>
      <c r="E28" s="22" t="s">
        <v>175</v>
      </c>
      <c r="F28" s="9"/>
      <c r="G28" s="9"/>
      <c r="H28" s="37">
        <f>(1.15-1.2)</f>
        <v>-5.0000000000000044E-2</v>
      </c>
      <c r="I28" s="9"/>
      <c r="J28" s="9"/>
    </row>
    <row r="29" spans="1:15" ht="31.2">
      <c r="A29" s="9"/>
      <c r="B29" s="22" t="s">
        <v>238</v>
      </c>
      <c r="C29" s="9"/>
      <c r="D29" s="9"/>
      <c r="H29" s="33">
        <f>(55727.8-50000)</f>
        <v>5727.8000000000029</v>
      </c>
      <c r="I29" s="9"/>
      <c r="J29" s="9"/>
    </row>
    <row r="30" spans="1:15" ht="33">
      <c r="A30" s="26" t="s">
        <v>176</v>
      </c>
      <c r="C30" s="9"/>
      <c r="D30" s="25">
        <v>55727.8</v>
      </c>
      <c r="E30" s="9"/>
      <c r="F30" s="9"/>
      <c r="G30" s="9"/>
      <c r="H30" s="9"/>
      <c r="I30" s="9"/>
      <c r="J30" s="9"/>
    </row>
    <row r="31" spans="1:15" ht="33">
      <c r="A31" s="26" t="s">
        <v>177</v>
      </c>
      <c r="C31" s="22" t="s">
        <v>237</v>
      </c>
      <c r="D31" s="9"/>
      <c r="E31" s="9"/>
      <c r="F31" s="9"/>
      <c r="G31" s="9"/>
      <c r="H31" s="9"/>
      <c r="J31" s="72">
        <f>(-0.05*5728/50000)+1.2</f>
        <v>1.194272</v>
      </c>
    </row>
    <row r="32" spans="1:15" ht="33">
      <c r="A32" s="35" t="s">
        <v>9</v>
      </c>
      <c r="C32" s="29" t="s">
        <v>13</v>
      </c>
      <c r="E32" s="9"/>
      <c r="G32" s="9"/>
      <c r="H32" s="36">
        <f>(1.5*1.2)</f>
        <v>1.7999999999999998</v>
      </c>
      <c r="I32" s="9"/>
      <c r="J32" s="9"/>
    </row>
    <row r="33" spans="1:11" ht="33">
      <c r="A33" s="35" t="s">
        <v>10</v>
      </c>
      <c r="B33" s="26"/>
      <c r="C33" s="26"/>
      <c r="D33" s="26"/>
      <c r="E33" s="10" t="s">
        <v>239</v>
      </c>
      <c r="F33" s="9"/>
      <c r="I33" s="112">
        <f>(D9*1.8)</f>
        <v>1053.2550000000001</v>
      </c>
      <c r="J33" s="112"/>
      <c r="K33" s="26" t="s">
        <v>240</v>
      </c>
    </row>
    <row r="34" spans="1:11" ht="31.2">
      <c r="A34" s="9"/>
      <c r="E34" s="9"/>
      <c r="F34" s="9"/>
      <c r="G34" s="9"/>
      <c r="H34" s="9"/>
      <c r="I34" s="9"/>
      <c r="J34" s="9"/>
    </row>
    <row r="35" spans="1:11" ht="31.2">
      <c r="A35" s="9"/>
      <c r="B35" s="8"/>
      <c r="C35" s="8"/>
      <c r="D35" s="9"/>
      <c r="E35" s="9"/>
      <c r="F35" s="9"/>
      <c r="G35" s="9"/>
      <c r="H35" s="9"/>
      <c r="I35" s="9"/>
      <c r="J35" s="9"/>
    </row>
    <row r="36" spans="1:11" ht="31.2">
      <c r="A36" s="9"/>
      <c r="F36" s="9"/>
      <c r="G36" s="9"/>
      <c r="H36" s="9"/>
      <c r="I36" s="9"/>
      <c r="J36" s="9"/>
    </row>
    <row r="37" spans="1:11" ht="31.2">
      <c r="A37" s="9"/>
      <c r="F37" s="9"/>
      <c r="G37" s="9"/>
      <c r="H37" s="9"/>
      <c r="I37" s="9"/>
      <c r="J37" s="9"/>
    </row>
    <row r="38" spans="1:11" ht="31.2">
      <c r="A38" s="9"/>
      <c r="B38" s="9"/>
      <c r="C38" s="9"/>
      <c r="D38" s="9"/>
      <c r="E38" s="9"/>
      <c r="F38" s="9"/>
      <c r="G38" s="9"/>
      <c r="H38" s="9"/>
      <c r="I38" s="9"/>
      <c r="J38" s="9"/>
    </row>
    <row r="39" spans="1:11" ht="31.2">
      <c r="A39" s="9"/>
      <c r="B39" s="9"/>
      <c r="C39" s="9"/>
      <c r="D39" s="9"/>
      <c r="E39" s="9"/>
      <c r="F39" s="9"/>
      <c r="G39" s="9"/>
      <c r="H39" s="9"/>
      <c r="I39" s="9"/>
      <c r="J39" s="9"/>
    </row>
    <row r="40" spans="1:11" ht="31.2">
      <c r="A40" s="9"/>
      <c r="B40" s="9"/>
      <c r="C40" s="9"/>
      <c r="D40" s="9"/>
      <c r="E40" s="9"/>
      <c r="F40" s="9"/>
      <c r="G40" s="9"/>
      <c r="H40" s="9"/>
      <c r="I40" s="9"/>
      <c r="J40" s="9"/>
    </row>
    <row r="41" spans="1:11" ht="31.2">
      <c r="A41" s="9"/>
      <c r="B41" s="9"/>
      <c r="C41" s="9"/>
      <c r="D41" s="9"/>
      <c r="E41" s="9"/>
      <c r="F41" s="9"/>
      <c r="G41" s="9"/>
      <c r="H41" s="9"/>
      <c r="I41" s="9"/>
      <c r="J41" s="9"/>
    </row>
    <row r="42" spans="1:11" ht="31.2">
      <c r="A42" s="9"/>
      <c r="B42" s="9"/>
      <c r="C42" s="9"/>
      <c r="D42" s="9"/>
      <c r="E42" s="9"/>
      <c r="F42" s="9"/>
      <c r="G42" s="9"/>
      <c r="H42" s="9"/>
      <c r="I42" s="9"/>
      <c r="J42" s="9"/>
    </row>
    <row r="43" spans="1:11" ht="31.2">
      <c r="A43" s="9"/>
      <c r="B43" s="9"/>
      <c r="C43" s="9"/>
      <c r="D43" s="9"/>
      <c r="E43" s="9"/>
      <c r="F43" s="9"/>
      <c r="G43" s="9"/>
      <c r="H43" s="9"/>
      <c r="I43" s="9"/>
      <c r="J43" s="9"/>
    </row>
    <row r="44" spans="1:11" ht="31.2">
      <c r="A44" s="9"/>
      <c r="B44" s="9"/>
      <c r="C44" s="9"/>
      <c r="D44" s="9"/>
      <c r="E44" s="9"/>
      <c r="F44" s="9"/>
      <c r="G44" s="9"/>
      <c r="H44" s="9"/>
      <c r="I44" s="9"/>
      <c r="J44" s="9"/>
    </row>
    <row r="45" spans="1:11" ht="31.2">
      <c r="A45" s="9"/>
      <c r="B45" s="9"/>
      <c r="C45" s="9"/>
      <c r="D45" s="9"/>
      <c r="E45" s="9"/>
      <c r="F45" s="9"/>
      <c r="G45" s="9"/>
      <c r="H45" s="9"/>
      <c r="I45" s="9"/>
      <c r="J45" s="9"/>
    </row>
    <row r="46" spans="1:11" ht="31.2">
      <c r="A46" s="9"/>
      <c r="B46" s="9"/>
      <c r="C46" s="9"/>
      <c r="D46" s="9"/>
      <c r="E46" s="9"/>
      <c r="F46" s="9"/>
      <c r="G46" s="9"/>
      <c r="H46" s="9"/>
      <c r="I46" s="9"/>
      <c r="J46" s="9"/>
    </row>
    <row r="47" spans="1:11" ht="31.2">
      <c r="A47" s="9"/>
      <c r="B47" s="9"/>
      <c r="C47" s="9"/>
      <c r="D47" s="9"/>
      <c r="E47" s="9"/>
      <c r="F47" s="9"/>
      <c r="G47" s="9"/>
      <c r="H47" s="9"/>
      <c r="I47" s="9"/>
      <c r="J47" s="9"/>
    </row>
    <row r="48" spans="1:11" ht="31.2">
      <c r="A48" s="9"/>
      <c r="B48" s="9"/>
      <c r="C48" s="9"/>
      <c r="D48" s="9"/>
      <c r="E48" s="9"/>
      <c r="F48" s="9"/>
      <c r="G48" s="9"/>
      <c r="H48" s="9"/>
      <c r="I48" s="9"/>
      <c r="J48" s="9"/>
    </row>
    <row r="49" spans="1:10" ht="31.2">
      <c r="A49" s="9"/>
      <c r="B49" s="9"/>
      <c r="C49" s="9"/>
      <c r="D49" s="9"/>
      <c r="E49" s="9"/>
      <c r="F49" s="9"/>
      <c r="G49" s="9"/>
      <c r="H49" s="9"/>
      <c r="I49" s="9"/>
      <c r="J49" s="9"/>
    </row>
    <row r="50" spans="1:10" ht="31.2">
      <c r="A50" s="9"/>
      <c r="B50" s="9"/>
      <c r="C50" s="9"/>
      <c r="D50" s="9"/>
      <c r="E50" s="9"/>
      <c r="F50" s="9"/>
      <c r="G50" s="9"/>
      <c r="H50" s="9"/>
      <c r="I50" s="9"/>
      <c r="J50" s="9"/>
    </row>
    <row r="51" spans="1:10" ht="31.2">
      <c r="A51" s="9"/>
      <c r="B51" s="9"/>
      <c r="C51" s="9"/>
      <c r="D51" s="9"/>
      <c r="E51" s="9"/>
      <c r="F51" s="9"/>
      <c r="G51" s="9"/>
      <c r="H51" s="9"/>
      <c r="I51" s="9"/>
      <c r="J51" s="9"/>
    </row>
    <row r="52" spans="1:10" ht="31.2">
      <c r="A52" s="9"/>
      <c r="B52" s="9"/>
      <c r="C52" s="9"/>
      <c r="D52" s="9"/>
      <c r="E52" s="9"/>
      <c r="F52" s="9"/>
      <c r="G52" s="9"/>
      <c r="H52" s="9"/>
      <c r="I52" s="9"/>
      <c r="J52" s="9"/>
    </row>
    <row r="53" spans="1:10" ht="31.2">
      <c r="A53" s="9"/>
      <c r="B53" s="9"/>
      <c r="C53" s="9"/>
      <c r="D53" s="9"/>
      <c r="E53" s="9"/>
      <c r="F53" s="9"/>
      <c r="G53" s="9"/>
      <c r="H53" s="9"/>
      <c r="I53" s="9"/>
      <c r="J53" s="9"/>
    </row>
    <row r="54" spans="1:10" ht="31.2">
      <c r="A54" s="9"/>
      <c r="B54" s="9"/>
      <c r="C54" s="9"/>
      <c r="D54" s="9"/>
      <c r="E54" s="9"/>
      <c r="F54" s="9"/>
      <c r="G54" s="9"/>
      <c r="H54" s="9"/>
      <c r="I54" s="9"/>
      <c r="J54" s="9"/>
    </row>
    <row r="55" spans="1:10" ht="31.2">
      <c r="A55" s="9"/>
      <c r="B55" s="9"/>
      <c r="C55" s="9"/>
      <c r="D55" s="9"/>
      <c r="E55" s="9"/>
      <c r="F55" s="9"/>
      <c r="G55" s="9"/>
      <c r="H55" s="9"/>
      <c r="I55" s="9"/>
      <c r="J55" s="9"/>
    </row>
    <row r="56" spans="1:10" ht="31.2">
      <c r="A56" s="9"/>
      <c r="B56" s="9"/>
      <c r="C56" s="9"/>
      <c r="D56" s="9"/>
      <c r="E56" s="9"/>
      <c r="F56" s="9"/>
      <c r="G56" s="9"/>
      <c r="H56" s="9"/>
      <c r="I56" s="9"/>
      <c r="J56" s="9"/>
    </row>
  </sheetData>
  <mergeCells count="7">
    <mergeCell ref="B23:L23"/>
    <mergeCell ref="I27:J27"/>
    <mergeCell ref="I33:J33"/>
    <mergeCell ref="B13:P13"/>
    <mergeCell ref="B14:P14"/>
    <mergeCell ref="B15:P15"/>
    <mergeCell ref="B19:O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4F907-A8D5-4D67-864B-5D220576A3B3}">
  <dimension ref="A2:P33"/>
  <sheetViews>
    <sheetView zoomScale="40" zoomScaleNormal="40" workbookViewId="0">
      <selection activeCell="O10" sqref="O10"/>
    </sheetView>
  </sheetViews>
  <sheetFormatPr baseColWidth="10" defaultRowHeight="14.4"/>
  <cols>
    <col min="2" max="2" width="13.33203125" customWidth="1"/>
    <col min="3" max="3" width="11.6640625" bestFit="1" customWidth="1"/>
    <col min="4" max="4" width="15" customWidth="1"/>
    <col min="5" max="5" width="15.5546875" bestFit="1" customWidth="1"/>
    <col min="6" max="6" width="11.6640625" bestFit="1" customWidth="1"/>
    <col min="7" max="7" width="15.5546875" bestFit="1" customWidth="1"/>
    <col min="8" max="8" width="15.77734375" customWidth="1"/>
    <col min="10" max="10" width="17.21875" customWidth="1"/>
    <col min="11" max="11" width="11.6640625" bestFit="1" customWidth="1"/>
    <col min="12" max="12" width="17.6640625" bestFit="1" customWidth="1"/>
    <col min="13" max="13" width="23.77734375" customWidth="1"/>
    <col min="14" max="14" width="12.6640625" bestFit="1" customWidth="1"/>
    <col min="15" max="15" width="29.21875" customWidth="1"/>
    <col min="16" max="16" width="22.6640625" bestFit="1" customWidth="1"/>
  </cols>
  <sheetData>
    <row r="2" spans="1:16" ht="33">
      <c r="B2" s="26" t="s">
        <v>242</v>
      </c>
    </row>
    <row r="4" spans="1:16" ht="120" customHeight="1">
      <c r="A4" s="116" t="s">
        <v>243</v>
      </c>
      <c r="B4" s="116"/>
      <c r="C4" s="116"/>
      <c r="D4" s="116"/>
      <c r="E4" s="116"/>
      <c r="F4" s="116"/>
      <c r="G4" s="116"/>
      <c r="H4" s="116"/>
      <c r="I4" s="116"/>
      <c r="J4" s="116"/>
      <c r="K4" s="116"/>
      <c r="L4" s="116"/>
      <c r="M4" s="116"/>
      <c r="N4" s="65"/>
      <c r="O4" s="65"/>
    </row>
    <row r="5" spans="1:16" ht="64.8" customHeight="1">
      <c r="A5" s="117" t="s">
        <v>241</v>
      </c>
      <c r="B5" s="117"/>
      <c r="C5" s="117"/>
      <c r="D5" s="117"/>
      <c r="E5" s="117"/>
      <c r="F5" s="117"/>
      <c r="G5" s="117"/>
      <c r="H5" s="117"/>
      <c r="I5" s="117"/>
      <c r="J5" s="117"/>
      <c r="K5" s="117"/>
      <c r="L5" s="117"/>
      <c r="M5" s="117"/>
    </row>
    <row r="6" spans="1:16" ht="28.8">
      <c r="A6" s="40"/>
      <c r="B6" s="39"/>
      <c r="C6" s="39"/>
      <c r="D6" s="39"/>
      <c r="E6" s="39"/>
      <c r="F6" s="39"/>
      <c r="G6" s="39"/>
    </row>
    <row r="7" spans="1:16" ht="46.8" customHeight="1">
      <c r="A7" s="82"/>
      <c r="B7" s="81" t="s">
        <v>14</v>
      </c>
      <c r="C7" s="114" t="s">
        <v>15</v>
      </c>
      <c r="D7" s="114"/>
      <c r="E7" s="114"/>
      <c r="F7" s="115" t="s">
        <v>16</v>
      </c>
      <c r="G7" s="115"/>
      <c r="H7" s="9"/>
      <c r="J7" s="90" t="s">
        <v>250</v>
      </c>
    </row>
    <row r="8" spans="1:16" ht="45.6">
      <c r="A8" s="83"/>
      <c r="B8" s="84" t="s">
        <v>17</v>
      </c>
      <c r="C8" s="84" t="s">
        <v>18</v>
      </c>
      <c r="D8" s="84" t="s">
        <v>19</v>
      </c>
      <c r="E8" s="91" t="s">
        <v>20</v>
      </c>
      <c r="F8" s="84" t="s">
        <v>18</v>
      </c>
      <c r="G8" s="92" t="s">
        <v>247</v>
      </c>
      <c r="H8" s="84" t="s">
        <v>26</v>
      </c>
      <c r="J8" s="84" t="s">
        <v>17</v>
      </c>
      <c r="K8" s="84" t="s">
        <v>18</v>
      </c>
      <c r="L8" s="84" t="s">
        <v>19</v>
      </c>
      <c r="M8" s="91" t="s">
        <v>20</v>
      </c>
      <c r="N8" s="84" t="s">
        <v>18</v>
      </c>
      <c r="O8" s="92" t="s">
        <v>21</v>
      </c>
      <c r="P8" s="84"/>
    </row>
    <row r="9" spans="1:16" ht="23.4">
      <c r="A9" s="80"/>
      <c r="B9" s="84" t="s">
        <v>22</v>
      </c>
      <c r="C9" s="85">
        <v>0.9</v>
      </c>
      <c r="D9" s="85">
        <v>13469.6</v>
      </c>
      <c r="E9" s="85">
        <f>(C9*D9)/100</f>
        <v>121.22640000000001</v>
      </c>
      <c r="F9" s="85">
        <v>0.9</v>
      </c>
      <c r="G9" s="85">
        <f>(121.23)</f>
        <v>121.23</v>
      </c>
      <c r="H9" s="85">
        <f>(121.23)</f>
        <v>121.23</v>
      </c>
      <c r="J9" s="88" t="s">
        <v>22</v>
      </c>
      <c r="K9" s="89">
        <v>0.9</v>
      </c>
      <c r="L9" s="85">
        <v>13469.6</v>
      </c>
      <c r="M9" s="89" t="s">
        <v>244</v>
      </c>
      <c r="N9" s="89">
        <v>0.9</v>
      </c>
      <c r="O9" s="85" t="s">
        <v>249</v>
      </c>
      <c r="P9" s="85"/>
    </row>
    <row r="10" spans="1:16" ht="23.4">
      <c r="A10" s="80"/>
      <c r="B10" s="86" t="s">
        <v>35</v>
      </c>
      <c r="C10" s="85">
        <v>0.9</v>
      </c>
      <c r="D10" s="85">
        <v>13469.6</v>
      </c>
      <c r="E10" s="85">
        <f>(C10*D10)/100</f>
        <v>121.22640000000001</v>
      </c>
      <c r="F10" s="85">
        <v>1.8</v>
      </c>
      <c r="G10" s="85">
        <f>(13469.6*F10)/100</f>
        <v>242.45280000000002</v>
      </c>
      <c r="H10" s="85">
        <f>(121.23+E10)</f>
        <v>242.45640000000003</v>
      </c>
      <c r="J10" s="86" t="s">
        <v>35</v>
      </c>
      <c r="K10" s="85">
        <v>0.9</v>
      </c>
      <c r="L10" s="85">
        <v>13469.6</v>
      </c>
      <c r="M10" s="89" t="s">
        <v>245</v>
      </c>
      <c r="N10" s="85">
        <v>1.8</v>
      </c>
      <c r="O10" s="85" t="s">
        <v>251</v>
      </c>
      <c r="P10" s="85"/>
    </row>
    <row r="11" spans="1:16" ht="23.4">
      <c r="A11" s="80"/>
      <c r="B11" s="86" t="s">
        <v>37</v>
      </c>
      <c r="C11" s="85">
        <v>0.9</v>
      </c>
      <c r="D11" s="85">
        <v>13469.6</v>
      </c>
      <c r="E11" s="85">
        <f t="shared" ref="E11:E24" si="0">(C11*D11)/100</f>
        <v>121.22640000000001</v>
      </c>
      <c r="F11" s="85">
        <v>2.7</v>
      </c>
      <c r="G11" s="85">
        <f>(13469.6*F11)/100</f>
        <v>363.67920000000004</v>
      </c>
      <c r="H11" s="85">
        <f>(H10+E11)</f>
        <v>363.68280000000004</v>
      </c>
      <c r="J11" s="86" t="s">
        <v>37</v>
      </c>
      <c r="K11" s="85">
        <v>0.9</v>
      </c>
      <c r="L11" s="85">
        <v>13469.6</v>
      </c>
      <c r="M11" s="89" t="s">
        <v>246</v>
      </c>
      <c r="N11" s="85">
        <v>2.7</v>
      </c>
      <c r="O11" s="85" t="s">
        <v>248</v>
      </c>
      <c r="P11" s="85"/>
    </row>
    <row r="12" spans="1:16" ht="23.4">
      <c r="A12" s="80"/>
      <c r="B12" s="86" t="s">
        <v>47</v>
      </c>
      <c r="C12" s="85">
        <v>1</v>
      </c>
      <c r="D12" s="85">
        <v>13469.6</v>
      </c>
      <c r="E12" s="85">
        <f t="shared" si="0"/>
        <v>134.696</v>
      </c>
      <c r="F12" s="85">
        <v>3.7</v>
      </c>
      <c r="G12" s="85">
        <f>(13469.6*F12)/100</f>
        <v>498.37520000000006</v>
      </c>
      <c r="H12" s="85">
        <f>(H11+E12)</f>
        <v>498.37880000000007</v>
      </c>
    </row>
    <row r="13" spans="1:16" ht="23.4">
      <c r="A13" s="80"/>
      <c r="B13" s="86" t="s">
        <v>38</v>
      </c>
      <c r="C13" s="85">
        <v>1.35</v>
      </c>
      <c r="D13" s="85">
        <v>13469.6</v>
      </c>
      <c r="E13" s="85">
        <f t="shared" si="0"/>
        <v>181.83960000000002</v>
      </c>
      <c r="F13" s="85">
        <v>5.05</v>
      </c>
      <c r="G13" s="85">
        <f>(13469.6*F13)/100</f>
        <v>680.21479999999997</v>
      </c>
      <c r="H13" s="85">
        <f>(H12+E13)</f>
        <v>680.21840000000009</v>
      </c>
    </row>
    <row r="14" spans="1:16" ht="23.4">
      <c r="A14" s="80"/>
      <c r="B14" s="86" t="s">
        <v>39</v>
      </c>
      <c r="C14" s="85">
        <v>3.85</v>
      </c>
      <c r="D14" s="85">
        <v>13469.6</v>
      </c>
      <c r="E14" s="85">
        <f t="shared" si="0"/>
        <v>518.57960000000003</v>
      </c>
      <c r="F14" s="85">
        <v>8.9</v>
      </c>
      <c r="G14" s="85">
        <f>(13469.6*F14)/100</f>
        <v>1198.7944</v>
      </c>
      <c r="H14" s="85">
        <f>(H13+E14)</f>
        <v>1198.7980000000002</v>
      </c>
    </row>
    <row r="15" spans="1:16" ht="23.4">
      <c r="A15" s="80"/>
      <c r="B15" s="86" t="s">
        <v>40</v>
      </c>
      <c r="C15" s="85">
        <v>5.2</v>
      </c>
      <c r="D15" s="85">
        <v>13469.6</v>
      </c>
      <c r="E15" s="85">
        <f t="shared" si="0"/>
        <v>700.41919999999993</v>
      </c>
      <c r="F15" s="85">
        <v>14.1</v>
      </c>
      <c r="G15" s="85">
        <f t="shared" ref="G15:G16" si="1">(13469.6*F15)/100</f>
        <v>1899.2135999999998</v>
      </c>
      <c r="H15" s="85">
        <f t="shared" ref="H15:H33" si="2">(H14+E15)</f>
        <v>1899.2172</v>
      </c>
    </row>
    <row r="16" spans="1:16" ht="23.4">
      <c r="A16" s="80"/>
      <c r="B16" s="86" t="s">
        <v>41</v>
      </c>
      <c r="C16" s="85">
        <v>6.2</v>
      </c>
      <c r="D16" s="85">
        <v>13469.6</v>
      </c>
      <c r="E16" s="85">
        <f t="shared" si="0"/>
        <v>835.11520000000007</v>
      </c>
      <c r="F16" s="85">
        <v>20.3</v>
      </c>
      <c r="G16" s="85">
        <f t="shared" si="1"/>
        <v>2734.3288000000002</v>
      </c>
      <c r="H16" s="85">
        <f t="shared" si="2"/>
        <v>2734.3324000000002</v>
      </c>
    </row>
    <row r="17" spans="1:8" ht="23.4">
      <c r="A17" s="80"/>
      <c r="B17" s="86" t="s">
        <v>42</v>
      </c>
      <c r="C17" s="85">
        <v>5.5</v>
      </c>
      <c r="D17" s="85">
        <v>13469.6</v>
      </c>
      <c r="E17" s="85">
        <f t="shared" si="0"/>
        <v>740.82799999999997</v>
      </c>
      <c r="F17" s="85">
        <v>25.8</v>
      </c>
      <c r="G17" s="85">
        <f>(13469.6*F17)/100</f>
        <v>3475.1567999999997</v>
      </c>
      <c r="H17" s="85">
        <f t="shared" si="2"/>
        <v>3475.1604000000002</v>
      </c>
    </row>
    <row r="18" spans="1:8" ht="23.4">
      <c r="A18" s="80"/>
      <c r="B18" s="86" t="s">
        <v>43</v>
      </c>
      <c r="C18" s="85">
        <v>5.85</v>
      </c>
      <c r="D18" s="85">
        <v>13469.6</v>
      </c>
      <c r="E18" s="85">
        <f t="shared" si="0"/>
        <v>787.97160000000008</v>
      </c>
      <c r="F18" s="85">
        <v>31.65</v>
      </c>
      <c r="G18" s="85">
        <f>(13469.6*F18)/100</f>
        <v>4263.1283999999996</v>
      </c>
      <c r="H18" s="85">
        <f t="shared" si="2"/>
        <v>4263.1320000000005</v>
      </c>
    </row>
    <row r="19" spans="1:8" ht="23.4">
      <c r="A19" s="80"/>
      <c r="B19" s="86" t="s">
        <v>44</v>
      </c>
      <c r="C19" s="85">
        <v>5</v>
      </c>
      <c r="D19" s="85">
        <v>13469.6</v>
      </c>
      <c r="E19" s="85">
        <f t="shared" si="0"/>
        <v>673.48</v>
      </c>
      <c r="F19" s="85">
        <v>36.65</v>
      </c>
      <c r="G19" s="85">
        <f>(13469.6*F19)/100</f>
        <v>4936.6084000000001</v>
      </c>
      <c r="H19" s="85">
        <f t="shared" si="2"/>
        <v>4936.612000000001</v>
      </c>
    </row>
    <row r="20" spans="1:8" ht="23.4">
      <c r="A20" s="80"/>
      <c r="B20" s="86" t="s">
        <v>45</v>
      </c>
      <c r="C20" s="85">
        <v>6.5</v>
      </c>
      <c r="D20" s="85">
        <v>13469.6</v>
      </c>
      <c r="E20" s="85">
        <f t="shared" si="0"/>
        <v>875.52400000000011</v>
      </c>
      <c r="F20" s="85">
        <v>43.15</v>
      </c>
      <c r="G20" s="85">
        <f t="shared" ref="G20:G33" si="3">(13469.6*F20)/100</f>
        <v>5812.1323999999995</v>
      </c>
      <c r="H20" s="85">
        <f t="shared" si="2"/>
        <v>5812.1360000000013</v>
      </c>
    </row>
    <row r="21" spans="1:8" ht="23.4">
      <c r="A21" s="80"/>
      <c r="B21" s="86" t="s">
        <v>46</v>
      </c>
      <c r="C21" s="85">
        <v>7.5</v>
      </c>
      <c r="D21" s="85">
        <v>13469.6</v>
      </c>
      <c r="E21" s="85">
        <f t="shared" si="0"/>
        <v>1010.22</v>
      </c>
      <c r="F21" s="85">
        <v>50.65</v>
      </c>
      <c r="G21" s="85">
        <f t="shared" si="3"/>
        <v>6822.3523999999998</v>
      </c>
      <c r="H21" s="85">
        <f t="shared" si="2"/>
        <v>6822.3560000000016</v>
      </c>
    </row>
    <row r="22" spans="1:8" ht="23.4">
      <c r="A22" s="80"/>
      <c r="B22" s="87" t="s">
        <v>23</v>
      </c>
      <c r="C22" s="85">
        <v>6.7</v>
      </c>
      <c r="D22" s="85">
        <v>13469.6</v>
      </c>
      <c r="E22" s="85">
        <f t="shared" si="0"/>
        <v>902.46320000000003</v>
      </c>
      <c r="F22" s="85">
        <v>57.35</v>
      </c>
      <c r="G22" s="85">
        <f t="shared" si="3"/>
        <v>7724.8156000000008</v>
      </c>
      <c r="H22" s="85">
        <f t="shared" si="2"/>
        <v>7724.8192000000017</v>
      </c>
    </row>
    <row r="23" spans="1:8" ht="23.4">
      <c r="A23" s="80"/>
      <c r="B23" s="84" t="s">
        <v>24</v>
      </c>
      <c r="C23" s="85">
        <v>5.35</v>
      </c>
      <c r="D23" s="85">
        <v>13469.6</v>
      </c>
      <c r="E23" s="85">
        <f t="shared" si="0"/>
        <v>720.62360000000001</v>
      </c>
      <c r="F23" s="85">
        <v>62.7</v>
      </c>
      <c r="G23" s="85">
        <f t="shared" si="3"/>
        <v>8445.4392000000007</v>
      </c>
      <c r="H23" s="85">
        <f t="shared" si="2"/>
        <v>8445.4428000000025</v>
      </c>
    </row>
    <row r="24" spans="1:8" ht="23.4">
      <c r="A24" s="80"/>
      <c r="B24" s="84" t="s">
        <v>25</v>
      </c>
      <c r="C24" s="85">
        <v>4.6500000000000004</v>
      </c>
      <c r="D24" s="85">
        <v>13469.6</v>
      </c>
      <c r="E24" s="85">
        <f t="shared" si="0"/>
        <v>626.33640000000003</v>
      </c>
      <c r="F24" s="85">
        <v>67.349999999999994</v>
      </c>
      <c r="G24" s="85">
        <f t="shared" si="3"/>
        <v>9071.775599999999</v>
      </c>
      <c r="H24" s="85">
        <f t="shared" si="2"/>
        <v>9071.7792000000027</v>
      </c>
    </row>
    <row r="25" spans="1:8" ht="23.4">
      <c r="A25" s="80"/>
      <c r="B25" s="84" t="s">
        <v>27</v>
      </c>
      <c r="C25" s="85">
        <v>4.5</v>
      </c>
      <c r="D25" s="85">
        <v>13469.6</v>
      </c>
      <c r="E25" s="85">
        <v>606.13</v>
      </c>
      <c r="F25" s="85">
        <v>71.849999999999994</v>
      </c>
      <c r="G25" s="85">
        <f t="shared" si="3"/>
        <v>9677.9075999999986</v>
      </c>
      <c r="H25" s="85">
        <f t="shared" si="2"/>
        <v>9677.9092000000019</v>
      </c>
    </row>
    <row r="26" spans="1:8" ht="23.4">
      <c r="A26" s="80"/>
      <c r="B26" s="84" t="s">
        <v>28</v>
      </c>
      <c r="C26" s="85">
        <v>5.5</v>
      </c>
      <c r="D26" s="85">
        <v>13469.6</v>
      </c>
      <c r="E26" s="85">
        <v>740.83</v>
      </c>
      <c r="F26" s="85">
        <v>77.349999999999994</v>
      </c>
      <c r="G26" s="85">
        <f t="shared" si="3"/>
        <v>10418.7356</v>
      </c>
      <c r="H26" s="85">
        <f t="shared" si="2"/>
        <v>10418.739200000002</v>
      </c>
    </row>
    <row r="27" spans="1:8" ht="23.4">
      <c r="A27" s="80"/>
      <c r="B27" s="84" t="s">
        <v>29</v>
      </c>
      <c r="C27" s="85">
        <v>6.3</v>
      </c>
      <c r="D27" s="85">
        <v>13469.6</v>
      </c>
      <c r="E27" s="85">
        <v>848.58</v>
      </c>
      <c r="F27" s="85">
        <v>83.65</v>
      </c>
      <c r="G27" s="85">
        <f t="shared" si="3"/>
        <v>11267.320400000001</v>
      </c>
      <c r="H27" s="85">
        <f t="shared" si="2"/>
        <v>11267.319200000002</v>
      </c>
    </row>
    <row r="28" spans="1:8" ht="23.4">
      <c r="A28" s="80"/>
      <c r="B28" s="84" t="s">
        <v>30</v>
      </c>
      <c r="C28" s="85">
        <v>5.35</v>
      </c>
      <c r="D28" s="85">
        <v>13469.6</v>
      </c>
      <c r="E28" s="85">
        <v>720.62</v>
      </c>
      <c r="F28" s="85">
        <v>89</v>
      </c>
      <c r="G28" s="85">
        <f t="shared" si="3"/>
        <v>11987.944000000001</v>
      </c>
      <c r="H28" s="85">
        <f t="shared" si="2"/>
        <v>11987.939200000003</v>
      </c>
    </row>
    <row r="29" spans="1:8" ht="23.4">
      <c r="A29" s="80"/>
      <c r="B29" s="84" t="s">
        <v>31</v>
      </c>
      <c r="C29" s="85">
        <v>5</v>
      </c>
      <c r="D29" s="85">
        <v>13469.6</v>
      </c>
      <c r="E29" s="85">
        <v>673.48</v>
      </c>
      <c r="F29" s="85">
        <v>94</v>
      </c>
      <c r="G29" s="85">
        <f t="shared" si="3"/>
        <v>12661.424000000001</v>
      </c>
      <c r="H29" s="85">
        <f t="shared" si="2"/>
        <v>12661.419200000002</v>
      </c>
    </row>
    <row r="30" spans="1:8" ht="23.4">
      <c r="A30" s="80"/>
      <c r="B30" s="84" t="s">
        <v>32</v>
      </c>
      <c r="C30" s="85">
        <v>3</v>
      </c>
      <c r="D30" s="85">
        <v>13469.6</v>
      </c>
      <c r="E30" s="85">
        <v>404.09</v>
      </c>
      <c r="F30" s="85">
        <v>97</v>
      </c>
      <c r="G30" s="85">
        <f t="shared" si="3"/>
        <v>13065.511999999999</v>
      </c>
      <c r="H30" s="85">
        <f t="shared" si="2"/>
        <v>13065.509200000002</v>
      </c>
    </row>
    <row r="31" spans="1:8" ht="23.4">
      <c r="A31" s="80"/>
      <c r="B31" s="84" t="s">
        <v>33</v>
      </c>
      <c r="C31" s="85">
        <v>2</v>
      </c>
      <c r="D31" s="85">
        <v>13469.6</v>
      </c>
      <c r="E31" s="85">
        <v>269.39</v>
      </c>
      <c r="F31" s="85">
        <v>99</v>
      </c>
      <c r="G31" s="85">
        <f t="shared" si="3"/>
        <v>13334.904000000002</v>
      </c>
      <c r="H31" s="85">
        <f t="shared" si="2"/>
        <v>13334.899200000002</v>
      </c>
    </row>
    <row r="32" spans="1:8" ht="23.4">
      <c r="A32" s="80"/>
      <c r="B32" s="84" t="s">
        <v>36</v>
      </c>
      <c r="C32" s="85">
        <v>1</v>
      </c>
      <c r="D32" s="85">
        <v>13469.6</v>
      </c>
      <c r="E32" s="85">
        <v>134.69999999999999</v>
      </c>
      <c r="F32" s="85">
        <v>100</v>
      </c>
      <c r="G32" s="85">
        <f t="shared" si="3"/>
        <v>13469.6</v>
      </c>
      <c r="H32" s="85">
        <f t="shared" si="2"/>
        <v>13469.599200000002</v>
      </c>
    </row>
    <row r="33" spans="1:8" ht="23.4">
      <c r="A33" s="80"/>
      <c r="B33" s="84" t="s">
        <v>34</v>
      </c>
      <c r="C33" s="85">
        <v>100</v>
      </c>
      <c r="D33" s="85">
        <v>13469.6</v>
      </c>
      <c r="E33" s="85">
        <v>13469.6</v>
      </c>
      <c r="F33" s="85">
        <v>100</v>
      </c>
      <c r="G33" s="85">
        <f t="shared" si="3"/>
        <v>13469.6</v>
      </c>
      <c r="H33" s="85">
        <f t="shared" si="2"/>
        <v>26939.199200000003</v>
      </c>
    </row>
  </sheetData>
  <mergeCells count="4">
    <mergeCell ref="C7:E7"/>
    <mergeCell ref="F7:G7"/>
    <mergeCell ref="A4:M4"/>
    <mergeCell ref="A5:M5"/>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D9DB-5EDF-446E-BAF6-A0094B85D385}">
  <dimension ref="B3:I11"/>
  <sheetViews>
    <sheetView zoomScale="60" zoomScaleNormal="60" workbookViewId="0">
      <selection activeCell="B3" sqref="B3"/>
    </sheetView>
  </sheetViews>
  <sheetFormatPr baseColWidth="10" defaultRowHeight="14.4"/>
  <cols>
    <col min="3" max="3" width="23.44140625" customWidth="1"/>
    <col min="4" max="4" width="24.5546875" customWidth="1"/>
    <col min="5" max="5" width="26" customWidth="1"/>
    <col min="6" max="6" width="20.44140625" customWidth="1"/>
    <col min="7" max="7" width="18.109375" customWidth="1"/>
    <col min="8" max="8" width="23.5546875" customWidth="1"/>
  </cols>
  <sheetData>
    <row r="3" spans="2:9" ht="33">
      <c r="B3" s="23" t="s">
        <v>252</v>
      </c>
      <c r="C3" s="26"/>
      <c r="D3" s="26"/>
      <c r="E3" s="26"/>
      <c r="F3" s="26"/>
      <c r="G3" s="26"/>
      <c r="H3" s="26"/>
      <c r="I3" s="26"/>
    </row>
    <row r="4" spans="2:9" ht="33">
      <c r="B4" s="26"/>
      <c r="C4" s="118" t="s">
        <v>59</v>
      </c>
      <c r="D4" s="118"/>
      <c r="E4" s="118"/>
      <c r="F4" s="118"/>
      <c r="G4" s="118"/>
      <c r="H4" s="118"/>
      <c r="I4" s="118"/>
    </row>
    <row r="5" spans="2:9" ht="33">
      <c r="B5" s="26"/>
      <c r="C5" s="35"/>
      <c r="D5" s="26"/>
      <c r="E5" s="26"/>
      <c r="F5" s="26"/>
      <c r="G5" s="26"/>
      <c r="H5" s="26"/>
      <c r="I5" s="26"/>
    </row>
    <row r="6" spans="2:9" ht="99.6" customHeight="1">
      <c r="B6" s="26"/>
      <c r="C6" s="41" t="s">
        <v>48</v>
      </c>
      <c r="D6" s="41" t="s">
        <v>49</v>
      </c>
      <c r="E6" s="41" t="s">
        <v>50</v>
      </c>
      <c r="F6" s="41" t="s">
        <v>51</v>
      </c>
      <c r="G6" s="41" t="s">
        <v>182</v>
      </c>
      <c r="H6" s="41" t="s">
        <v>183</v>
      </c>
      <c r="I6" s="26"/>
    </row>
    <row r="7" spans="2:9" ht="33">
      <c r="B7" s="26"/>
      <c r="C7" s="42" t="s">
        <v>54</v>
      </c>
      <c r="D7" s="42">
        <v>2320</v>
      </c>
      <c r="E7" s="42">
        <v>10</v>
      </c>
      <c r="F7" s="42" t="s">
        <v>55</v>
      </c>
      <c r="G7" s="42">
        <v>23.2</v>
      </c>
      <c r="H7" s="42">
        <v>0.97</v>
      </c>
      <c r="I7" s="26"/>
    </row>
    <row r="8" spans="2:9" ht="40.200000000000003" customHeight="1">
      <c r="B8" s="26"/>
      <c r="C8" s="42" t="s">
        <v>56</v>
      </c>
      <c r="D8" s="42">
        <v>1200</v>
      </c>
      <c r="E8" s="42">
        <v>20</v>
      </c>
      <c r="F8" s="42" t="s">
        <v>55</v>
      </c>
      <c r="G8" s="42">
        <v>24</v>
      </c>
      <c r="H8" s="42">
        <v>1</v>
      </c>
      <c r="I8" s="26"/>
    </row>
    <row r="9" spans="2:9" ht="60.6" customHeight="1">
      <c r="B9" s="26"/>
      <c r="C9" s="42" t="s">
        <v>57</v>
      </c>
      <c r="D9" s="42">
        <v>1200</v>
      </c>
      <c r="E9" s="42">
        <v>20</v>
      </c>
      <c r="F9" s="42" t="s">
        <v>55</v>
      </c>
      <c r="G9" s="42">
        <v>24</v>
      </c>
      <c r="H9" s="42">
        <v>1</v>
      </c>
      <c r="I9" s="26"/>
    </row>
    <row r="10" spans="2:9" ht="33">
      <c r="B10" s="26"/>
      <c r="C10" s="41" t="s">
        <v>34</v>
      </c>
      <c r="D10" s="41">
        <v>4720</v>
      </c>
      <c r="E10" s="41">
        <v>71.2</v>
      </c>
      <c r="F10" s="41">
        <v>2.97</v>
      </c>
      <c r="G10" s="26"/>
      <c r="H10" s="26"/>
      <c r="I10" s="26"/>
    </row>
    <row r="11" spans="2:9" ht="33">
      <c r="B11" s="26"/>
      <c r="C11" s="43" t="s">
        <v>58</v>
      </c>
      <c r="D11" s="26"/>
      <c r="E11" s="26"/>
      <c r="F11" s="26"/>
      <c r="G11" s="26"/>
      <c r="H11" s="26"/>
      <c r="I11" s="26"/>
    </row>
  </sheetData>
  <mergeCells count="1">
    <mergeCell ref="C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B36A4-5FE3-4A08-A5C6-3BE0155AA3BA}">
  <dimension ref="B2:H13"/>
  <sheetViews>
    <sheetView zoomScale="50" zoomScaleNormal="50" workbookViewId="0">
      <selection activeCell="C2" sqref="C2"/>
    </sheetView>
  </sheetViews>
  <sheetFormatPr baseColWidth="10" defaultRowHeight="14.4"/>
  <cols>
    <col min="3" max="3" width="32.44140625" customWidth="1"/>
    <col min="4" max="4" width="27.33203125" customWidth="1"/>
    <col min="5" max="5" width="24.21875" customWidth="1"/>
    <col min="6" max="6" width="20.77734375" customWidth="1"/>
    <col min="7" max="7" width="21.33203125" customWidth="1"/>
    <col min="8" max="8" width="22" customWidth="1"/>
  </cols>
  <sheetData>
    <row r="2" spans="2:8" ht="30">
      <c r="B2" s="21" t="s">
        <v>253</v>
      </c>
    </row>
    <row r="4" spans="2:8" ht="33">
      <c r="C4" s="35" t="s">
        <v>73</v>
      </c>
      <c r="D4" s="26"/>
      <c r="E4" s="26"/>
      <c r="F4" s="26"/>
      <c r="G4" s="26"/>
      <c r="H4" s="26"/>
    </row>
    <row r="5" spans="2:8" ht="33">
      <c r="C5" s="26"/>
      <c r="D5" s="26"/>
      <c r="E5" s="26"/>
      <c r="F5" s="26"/>
      <c r="G5" s="26"/>
      <c r="H5" s="26"/>
    </row>
    <row r="6" spans="2:8" ht="66">
      <c r="C6" s="54" t="s">
        <v>48</v>
      </c>
      <c r="D6" s="53" t="s">
        <v>74</v>
      </c>
      <c r="E6" s="53" t="s">
        <v>50</v>
      </c>
      <c r="F6" s="53" t="s">
        <v>51</v>
      </c>
      <c r="G6" s="53" t="s">
        <v>182</v>
      </c>
      <c r="H6" s="53" t="s">
        <v>183</v>
      </c>
    </row>
    <row r="7" spans="2:8" ht="63" customHeight="1">
      <c r="C7" s="42" t="s">
        <v>75</v>
      </c>
      <c r="D7" s="53">
        <v>120</v>
      </c>
      <c r="E7" s="53">
        <v>15</v>
      </c>
      <c r="F7" s="53" t="s">
        <v>76</v>
      </c>
      <c r="G7" s="53">
        <f>(D7*15)/1000</f>
        <v>1.8</v>
      </c>
      <c r="H7" s="53">
        <f>(G7/24)</f>
        <v>7.4999999999999997E-2</v>
      </c>
    </row>
    <row r="8" spans="2:8" ht="83.4" customHeight="1">
      <c r="C8" s="42" t="s">
        <v>77</v>
      </c>
      <c r="D8" s="53">
        <v>80</v>
      </c>
      <c r="E8" s="53">
        <v>15</v>
      </c>
      <c r="F8" s="53" t="s">
        <v>76</v>
      </c>
      <c r="G8" s="53">
        <f>(D8*15)/1000</f>
        <v>1.2</v>
      </c>
      <c r="H8" s="53">
        <f>(G8/24)</f>
        <v>4.9999999999999996E-2</v>
      </c>
    </row>
    <row r="9" spans="2:8" ht="63" customHeight="1">
      <c r="C9" s="55" t="s">
        <v>78</v>
      </c>
      <c r="D9" s="53">
        <v>80</v>
      </c>
      <c r="E9" s="53">
        <v>15</v>
      </c>
      <c r="F9" s="53" t="s">
        <v>76</v>
      </c>
      <c r="G9" s="53">
        <f>(D9*15)/1000</f>
        <v>1.2</v>
      </c>
      <c r="H9" s="53">
        <f>(G9/24)</f>
        <v>4.9999999999999996E-2</v>
      </c>
    </row>
    <row r="10" spans="2:8" ht="84" customHeight="1">
      <c r="C10" s="42" t="s">
        <v>79</v>
      </c>
      <c r="D10" s="53">
        <v>240</v>
      </c>
      <c r="E10" s="53">
        <v>15</v>
      </c>
      <c r="F10" s="53" t="s">
        <v>76</v>
      </c>
      <c r="G10" s="53">
        <f>(D10*15)/1000</f>
        <v>3.6</v>
      </c>
      <c r="H10" s="53">
        <f>(G10/24)</f>
        <v>0.15</v>
      </c>
    </row>
    <row r="11" spans="2:8" ht="36.6" customHeight="1">
      <c r="C11" s="42" t="s">
        <v>34</v>
      </c>
      <c r="D11" s="53">
        <v>7.8</v>
      </c>
      <c r="E11" s="53">
        <v>0.33</v>
      </c>
      <c r="F11" s="32"/>
      <c r="G11" s="32"/>
      <c r="H11" s="32"/>
    </row>
    <row r="13" spans="2:8">
      <c r="C13" s="1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BDA8-9BA9-43A6-B99F-21C2D0A37AEF}">
  <dimension ref="B2:N20"/>
  <sheetViews>
    <sheetView zoomScale="50" zoomScaleNormal="50" workbookViewId="0">
      <selection activeCell="D20" sqref="D20"/>
    </sheetView>
  </sheetViews>
  <sheetFormatPr baseColWidth="10" defaultRowHeight="14.4"/>
  <cols>
    <col min="3" max="3" width="18.77734375" customWidth="1"/>
    <col min="4" max="4" width="26.33203125" customWidth="1"/>
    <col min="5" max="5" width="25.5546875" customWidth="1"/>
    <col min="6" max="6" width="26" customWidth="1"/>
    <col min="7" max="7" width="17.21875" customWidth="1"/>
    <col min="8" max="8" width="16" customWidth="1"/>
    <col min="9" max="9" width="21.6640625" customWidth="1"/>
  </cols>
  <sheetData>
    <row r="2" spans="2:14" ht="33">
      <c r="C2" s="23" t="s">
        <v>254</v>
      </c>
    </row>
    <row r="5" spans="2:14" ht="91.8" customHeight="1">
      <c r="B5" s="119" t="s">
        <v>255</v>
      </c>
      <c r="C5" s="120"/>
      <c r="D5" s="120"/>
      <c r="E5" s="120"/>
      <c r="F5" s="120"/>
      <c r="G5" s="120"/>
      <c r="H5" s="46"/>
      <c r="J5" s="46"/>
      <c r="K5" s="46"/>
      <c r="L5" s="46"/>
      <c r="N5" s="34" t="s">
        <v>61</v>
      </c>
    </row>
    <row r="6" spans="2:14" ht="55.8" customHeight="1">
      <c r="B6" s="45"/>
      <c r="C6" s="46"/>
      <c r="D6" s="46"/>
      <c r="E6" s="46"/>
      <c r="F6" s="52">
        <f>(800/365*1000)</f>
        <v>2191.7808219178082</v>
      </c>
      <c r="G6" s="46"/>
      <c r="H6" s="46"/>
      <c r="I6" s="51"/>
      <c r="J6" s="46"/>
      <c r="K6" s="46"/>
      <c r="L6" s="46"/>
      <c r="N6" s="34"/>
    </row>
    <row r="8" spans="2:14" ht="76.2" customHeight="1">
      <c r="B8" s="105" t="s">
        <v>206</v>
      </c>
      <c r="C8" s="95"/>
      <c r="D8" s="95"/>
      <c r="E8" s="95"/>
      <c r="F8" s="95"/>
      <c r="G8" s="95"/>
      <c r="H8" s="11"/>
      <c r="J8" s="11"/>
      <c r="K8" s="11"/>
      <c r="L8" s="11"/>
      <c r="N8" s="34" t="s">
        <v>61</v>
      </c>
    </row>
    <row r="10" spans="2:14" ht="67.2" customHeight="1">
      <c r="C10" s="28">
        <f>(3000/365*1000)</f>
        <v>8219.1780821917819</v>
      </c>
    </row>
    <row r="11" spans="2:14" ht="94.8" customHeight="1">
      <c r="D11" s="47" t="s">
        <v>48</v>
      </c>
      <c r="E11" s="47" t="s">
        <v>62</v>
      </c>
      <c r="F11" s="47" t="s">
        <v>50</v>
      </c>
      <c r="G11" s="47" t="s">
        <v>51</v>
      </c>
      <c r="H11" s="47" t="s">
        <v>184</v>
      </c>
      <c r="I11" s="47" t="s">
        <v>183</v>
      </c>
    </row>
    <row r="12" spans="2:14" ht="64.8" customHeight="1">
      <c r="C12" s="2"/>
      <c r="D12" s="24" t="s">
        <v>63</v>
      </c>
      <c r="E12" s="49">
        <v>2</v>
      </c>
      <c r="F12" s="49">
        <v>8200</v>
      </c>
      <c r="G12" s="49" t="s">
        <v>64</v>
      </c>
      <c r="H12" s="28">
        <f>(F12*E12)/1000</f>
        <v>16.399999999999999</v>
      </c>
      <c r="I12" s="48">
        <f>(H12/24)</f>
        <v>0.68333333333333324</v>
      </c>
      <c r="J12" s="4"/>
      <c r="K12" s="4"/>
    </row>
    <row r="13" spans="2:14" ht="69" customHeight="1">
      <c r="D13" s="24" t="s">
        <v>65</v>
      </c>
      <c r="E13" s="49">
        <v>100</v>
      </c>
      <c r="F13" s="49">
        <v>5</v>
      </c>
      <c r="G13" s="49" t="s">
        <v>66</v>
      </c>
      <c r="H13" s="28">
        <f>(F13*E13)/1000</f>
        <v>0.5</v>
      </c>
      <c r="I13" s="48">
        <f t="shared" ref="I13:I18" si="0">(H13/24)</f>
        <v>2.0833333333333332E-2</v>
      </c>
    </row>
    <row r="14" spans="2:14" ht="85.2" customHeight="1">
      <c r="C14" s="2"/>
      <c r="D14" s="24" t="s">
        <v>67</v>
      </c>
      <c r="E14" s="49">
        <v>1</v>
      </c>
      <c r="F14" s="49">
        <v>2192</v>
      </c>
      <c r="G14" s="49" t="s">
        <v>68</v>
      </c>
      <c r="H14" s="28">
        <f>(F14*E14)/1000</f>
        <v>2.1920000000000002</v>
      </c>
      <c r="I14" s="48">
        <f t="shared" si="0"/>
        <v>9.1333333333333336E-2</v>
      </c>
    </row>
    <row r="15" spans="2:14" ht="67.2" customHeight="1">
      <c r="D15" s="24" t="s">
        <v>69</v>
      </c>
      <c r="E15" s="49">
        <v>100</v>
      </c>
      <c r="F15" s="49">
        <v>5</v>
      </c>
      <c r="G15" s="49" t="s">
        <v>66</v>
      </c>
      <c r="H15" s="28">
        <f t="shared" ref="H15:H18" si="1">(F15*E15)/1000</f>
        <v>0.5</v>
      </c>
      <c r="I15" s="48">
        <f t="shared" si="0"/>
        <v>2.0833333333333332E-2</v>
      </c>
    </row>
    <row r="16" spans="2:14" ht="60">
      <c r="C16" s="2"/>
      <c r="D16" s="24" t="s">
        <v>70</v>
      </c>
      <c r="E16" s="49">
        <v>3345</v>
      </c>
      <c r="F16" s="49">
        <v>5</v>
      </c>
      <c r="G16" s="49" t="s">
        <v>66</v>
      </c>
      <c r="H16" s="28">
        <f t="shared" si="1"/>
        <v>16.725000000000001</v>
      </c>
      <c r="I16" s="48">
        <f t="shared" si="0"/>
        <v>0.69687500000000002</v>
      </c>
    </row>
    <row r="17" spans="4:9" ht="64.2" customHeight="1">
      <c r="D17" s="24" t="s">
        <v>71</v>
      </c>
      <c r="E17" s="49">
        <v>620</v>
      </c>
      <c r="F17" s="49">
        <v>5</v>
      </c>
      <c r="G17" s="49" t="s">
        <v>66</v>
      </c>
      <c r="H17" s="28">
        <f t="shared" si="1"/>
        <v>3.1</v>
      </c>
      <c r="I17" s="48">
        <f t="shared" si="0"/>
        <v>0.12916666666666668</v>
      </c>
    </row>
    <row r="18" spans="4:9" ht="124.8" customHeight="1">
      <c r="D18" s="24" t="s">
        <v>72</v>
      </c>
      <c r="E18" s="49">
        <v>400</v>
      </c>
      <c r="F18" s="49">
        <v>5</v>
      </c>
      <c r="G18" s="49" t="s">
        <v>66</v>
      </c>
      <c r="H18" s="28">
        <f t="shared" si="1"/>
        <v>2</v>
      </c>
      <c r="I18" s="48">
        <f t="shared" si="0"/>
        <v>8.3333333333333329E-2</v>
      </c>
    </row>
    <row r="19" spans="4:9" ht="31.2">
      <c r="D19" s="38" t="s">
        <v>34</v>
      </c>
      <c r="E19" s="50">
        <v>41.42</v>
      </c>
      <c r="F19" s="50">
        <v>1.73</v>
      </c>
      <c r="G19" s="31"/>
      <c r="H19" s="28">
        <f>SUM(H12:H18)</f>
        <v>41.417000000000002</v>
      </c>
      <c r="I19" s="48"/>
    </row>
    <row r="20" spans="4:9">
      <c r="D20" s="18"/>
    </row>
  </sheetData>
  <mergeCells count="2">
    <mergeCell ref="B8:G8"/>
    <mergeCell ref="B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DDE4-6E41-47CE-ADFA-3A7E26A6C67B}">
  <dimension ref="B2:J131"/>
  <sheetViews>
    <sheetView zoomScale="50" zoomScaleNormal="50" workbookViewId="0">
      <selection activeCell="K14" sqref="K14"/>
    </sheetView>
  </sheetViews>
  <sheetFormatPr baseColWidth="10" defaultRowHeight="14.4"/>
  <cols>
    <col min="3" max="3" width="32.33203125" customWidth="1"/>
    <col min="4" max="4" width="25.33203125" customWidth="1"/>
    <col min="5" max="5" width="18" customWidth="1"/>
    <col min="6" max="6" width="20.33203125" customWidth="1"/>
    <col min="7" max="7" width="25.33203125" customWidth="1"/>
    <col min="8" max="8" width="24.44140625" customWidth="1"/>
  </cols>
  <sheetData>
    <row r="2" spans="2:10" ht="31.2">
      <c r="B2" s="21" t="s">
        <v>256</v>
      </c>
      <c r="C2" s="9"/>
      <c r="D2" s="9"/>
      <c r="E2" s="9"/>
      <c r="F2" s="9"/>
      <c r="G2" s="9"/>
      <c r="H2" s="9"/>
      <c r="I2" s="9"/>
      <c r="J2" s="9"/>
    </row>
    <row r="3" spans="2:10" ht="31.2">
      <c r="B3" s="9"/>
      <c r="C3" s="9"/>
      <c r="D3" s="9"/>
      <c r="E3" s="9"/>
      <c r="F3" s="9"/>
      <c r="G3" s="9"/>
      <c r="H3" s="9"/>
      <c r="I3" s="9"/>
      <c r="J3" s="9"/>
    </row>
    <row r="4" spans="2:10" ht="31.2">
      <c r="B4" s="9"/>
      <c r="C4" s="121" t="s">
        <v>185</v>
      </c>
      <c r="D4" s="122"/>
      <c r="E4" s="122"/>
      <c r="F4" s="122"/>
      <c r="G4" s="122"/>
      <c r="H4" s="122"/>
      <c r="I4" s="9"/>
      <c r="J4" s="9"/>
    </row>
    <row r="5" spans="2:10" ht="63" customHeight="1">
      <c r="B5" s="9"/>
      <c r="C5" s="24" t="s">
        <v>81</v>
      </c>
      <c r="D5" s="24" t="s">
        <v>82</v>
      </c>
      <c r="E5" s="24" t="s">
        <v>83</v>
      </c>
      <c r="F5" s="24" t="s">
        <v>84</v>
      </c>
      <c r="G5" s="60" t="s">
        <v>182</v>
      </c>
      <c r="H5" s="60" t="s">
        <v>183</v>
      </c>
      <c r="I5" s="9"/>
      <c r="J5" s="9"/>
    </row>
    <row r="6" spans="2:10" ht="37.200000000000003" customHeight="1">
      <c r="B6" s="9"/>
      <c r="C6" s="24" t="s">
        <v>85</v>
      </c>
      <c r="D6" s="49">
        <v>27</v>
      </c>
      <c r="E6" s="49">
        <v>300</v>
      </c>
      <c r="F6" s="49" t="s">
        <v>199</v>
      </c>
      <c r="G6" s="61">
        <f>(E6*D6)/1000</f>
        <v>8.1</v>
      </c>
      <c r="H6" s="62">
        <f>(G6/24)</f>
        <v>0.33749999999999997</v>
      </c>
      <c r="I6" s="9"/>
      <c r="J6" s="9"/>
    </row>
    <row r="7" spans="2:10" ht="63" customHeight="1">
      <c r="B7" s="9"/>
      <c r="C7" s="24" t="s">
        <v>86</v>
      </c>
      <c r="D7" s="49">
        <v>8044</v>
      </c>
      <c r="E7" s="49">
        <v>4</v>
      </c>
      <c r="F7" s="49" t="s">
        <v>66</v>
      </c>
      <c r="G7" s="61">
        <f>(E7*D7)/1000</f>
        <v>32.176000000000002</v>
      </c>
      <c r="H7" s="62">
        <f>(G7/24)</f>
        <v>1.3406666666666667</v>
      </c>
      <c r="I7" s="9"/>
      <c r="J7" s="9"/>
    </row>
    <row r="8" spans="2:10" ht="33">
      <c r="B8" s="9"/>
      <c r="C8" s="24" t="s">
        <v>87</v>
      </c>
      <c r="D8" s="49">
        <v>656</v>
      </c>
      <c r="E8" s="49">
        <v>4</v>
      </c>
      <c r="F8" s="49" t="s">
        <v>66</v>
      </c>
      <c r="G8" s="61">
        <f>(E8*D8)/1000</f>
        <v>2.6240000000000001</v>
      </c>
      <c r="H8" s="62">
        <f>(G8/24)</f>
        <v>0.10933333333333334</v>
      </c>
      <c r="I8" s="9"/>
      <c r="J8" s="9"/>
    </row>
    <row r="9" spans="2:10" ht="31.2">
      <c r="B9" s="9"/>
      <c r="C9" s="24" t="s">
        <v>34</v>
      </c>
      <c r="D9" s="49">
        <v>42.9</v>
      </c>
      <c r="E9" s="49">
        <v>1.79</v>
      </c>
      <c r="F9" s="31"/>
      <c r="G9" s="31"/>
      <c r="H9" s="31"/>
      <c r="I9" s="9"/>
      <c r="J9" s="9"/>
    </row>
    <row r="10" spans="2:10" ht="31.2">
      <c r="B10" s="9"/>
      <c r="C10" s="9"/>
      <c r="D10" s="9"/>
      <c r="E10" s="9"/>
      <c r="F10" s="9"/>
      <c r="G10" s="9"/>
      <c r="H10" s="9"/>
      <c r="I10" s="9"/>
      <c r="J10" s="9"/>
    </row>
    <row r="11" spans="2:10" ht="31.2">
      <c r="B11" s="21" t="s">
        <v>257</v>
      </c>
      <c r="D11" s="9"/>
      <c r="E11" s="9"/>
      <c r="F11" s="9"/>
      <c r="G11" s="9"/>
      <c r="H11" s="9"/>
      <c r="I11" s="9"/>
      <c r="J11" s="9"/>
    </row>
    <row r="12" spans="2:10" ht="66">
      <c r="B12" s="9"/>
      <c r="C12" s="38" t="s">
        <v>48</v>
      </c>
      <c r="D12" s="38" t="s">
        <v>74</v>
      </c>
      <c r="E12" s="38" t="s">
        <v>200</v>
      </c>
      <c r="F12" s="38" t="s">
        <v>51</v>
      </c>
      <c r="G12" s="64" t="s">
        <v>184</v>
      </c>
      <c r="H12" s="64" t="s">
        <v>183</v>
      </c>
      <c r="I12" s="9"/>
      <c r="J12" s="9"/>
    </row>
    <row r="13" spans="2:10" ht="60">
      <c r="B13" s="9"/>
      <c r="C13" s="24" t="s">
        <v>88</v>
      </c>
      <c r="D13" s="49">
        <v>25</v>
      </c>
      <c r="E13" s="49">
        <v>180</v>
      </c>
      <c r="F13" s="49" t="s">
        <v>89</v>
      </c>
      <c r="G13" s="61">
        <f t="shared" ref="G13:G28" si="0">(D13*E13)/1000</f>
        <v>4.5</v>
      </c>
      <c r="H13" s="62">
        <f t="shared" ref="H13:H28" si="1">(G13/24)</f>
        <v>0.1875</v>
      </c>
      <c r="I13" s="9"/>
      <c r="J13" s="9"/>
    </row>
    <row r="14" spans="2:10" ht="74.400000000000006" customHeight="1">
      <c r="B14" s="9"/>
      <c r="C14" s="24" t="s">
        <v>90</v>
      </c>
      <c r="D14" s="49">
        <v>70</v>
      </c>
      <c r="E14" s="49">
        <v>180</v>
      </c>
      <c r="F14" s="49" t="s">
        <v>91</v>
      </c>
      <c r="G14" s="61">
        <f t="shared" si="0"/>
        <v>12.6</v>
      </c>
      <c r="H14" s="62">
        <f t="shared" si="1"/>
        <v>0.52500000000000002</v>
      </c>
      <c r="I14" s="9"/>
      <c r="J14" s="9"/>
    </row>
    <row r="15" spans="2:10" ht="54" customHeight="1">
      <c r="B15" s="9"/>
      <c r="C15" s="24" t="s">
        <v>92</v>
      </c>
      <c r="D15" s="49">
        <v>100</v>
      </c>
      <c r="E15" s="49">
        <v>4</v>
      </c>
      <c r="F15" s="49" t="s">
        <v>66</v>
      </c>
      <c r="G15" s="61">
        <f t="shared" si="0"/>
        <v>0.4</v>
      </c>
      <c r="H15" s="62">
        <f t="shared" si="1"/>
        <v>1.6666666666666666E-2</v>
      </c>
      <c r="I15" s="9"/>
      <c r="J15" s="9"/>
    </row>
    <row r="16" spans="2:10" ht="60.6" customHeight="1">
      <c r="B16" s="9"/>
      <c r="C16" s="24" t="s">
        <v>93</v>
      </c>
      <c r="D16" s="49">
        <v>1315</v>
      </c>
      <c r="E16" s="49">
        <v>4</v>
      </c>
      <c r="F16" s="49" t="s">
        <v>66</v>
      </c>
      <c r="G16" s="61">
        <f t="shared" si="0"/>
        <v>5.26</v>
      </c>
      <c r="H16" s="62">
        <f t="shared" si="1"/>
        <v>0.21916666666666665</v>
      </c>
      <c r="I16" s="9"/>
      <c r="J16" s="9"/>
    </row>
    <row r="17" spans="2:10" ht="87" customHeight="1">
      <c r="B17" s="9"/>
      <c r="C17" s="24" t="s">
        <v>94</v>
      </c>
      <c r="D17" s="49">
        <v>165</v>
      </c>
      <c r="E17" s="49">
        <v>4</v>
      </c>
      <c r="F17" s="49" t="s">
        <v>66</v>
      </c>
      <c r="G17" s="61">
        <f t="shared" si="0"/>
        <v>0.66</v>
      </c>
      <c r="H17" s="62">
        <f t="shared" si="1"/>
        <v>2.75E-2</v>
      </c>
      <c r="I17" s="9"/>
      <c r="J17" s="9"/>
    </row>
    <row r="18" spans="2:10" ht="54" customHeight="1">
      <c r="B18" s="9"/>
      <c r="C18" s="24" t="s">
        <v>95</v>
      </c>
      <c r="D18" s="49">
        <v>3310</v>
      </c>
      <c r="E18" s="49">
        <v>20</v>
      </c>
      <c r="F18" s="49" t="s">
        <v>66</v>
      </c>
      <c r="G18" s="61">
        <f t="shared" si="0"/>
        <v>66.2</v>
      </c>
      <c r="H18" s="62">
        <f t="shared" si="1"/>
        <v>2.7583333333333333</v>
      </c>
      <c r="I18" s="9"/>
      <c r="J18" s="9"/>
    </row>
    <row r="19" spans="2:10" ht="45.6" customHeight="1">
      <c r="B19" s="9"/>
      <c r="C19" s="24" t="s">
        <v>96</v>
      </c>
      <c r="D19" s="49">
        <v>1218</v>
      </c>
      <c r="E19" s="49">
        <v>4</v>
      </c>
      <c r="F19" s="49" t="s">
        <v>66</v>
      </c>
      <c r="G19" s="61">
        <f t="shared" si="0"/>
        <v>4.8719999999999999</v>
      </c>
      <c r="H19" s="62">
        <f t="shared" si="1"/>
        <v>0.20299999999999999</v>
      </c>
      <c r="I19" s="9"/>
      <c r="J19" s="9"/>
    </row>
    <row r="20" spans="2:10" ht="51" customHeight="1">
      <c r="B20" s="9"/>
      <c r="C20" s="24" t="s">
        <v>97</v>
      </c>
      <c r="D20" s="49">
        <v>50</v>
      </c>
      <c r="E20" s="49">
        <v>180</v>
      </c>
      <c r="F20" s="49" t="s">
        <v>98</v>
      </c>
      <c r="G20" s="61">
        <f t="shared" si="0"/>
        <v>9</v>
      </c>
      <c r="H20" s="62">
        <f t="shared" si="1"/>
        <v>0.375</v>
      </c>
      <c r="I20" s="9"/>
      <c r="J20" s="9"/>
    </row>
    <row r="21" spans="2:10" ht="67.2" customHeight="1">
      <c r="B21" s="9"/>
      <c r="C21" s="24" t="s">
        <v>99</v>
      </c>
      <c r="D21" s="49">
        <v>596</v>
      </c>
      <c r="E21" s="49">
        <v>4</v>
      </c>
      <c r="F21" s="49" t="s">
        <v>66</v>
      </c>
      <c r="G21" s="61">
        <f t="shared" si="0"/>
        <v>2.3839999999999999</v>
      </c>
      <c r="H21" s="62">
        <f t="shared" si="1"/>
        <v>9.9333333333333329E-2</v>
      </c>
      <c r="I21" s="9"/>
      <c r="J21" s="9"/>
    </row>
    <row r="22" spans="2:10" ht="53.4" customHeight="1">
      <c r="B22" s="9"/>
      <c r="C22" s="24" t="s">
        <v>100</v>
      </c>
      <c r="D22" s="49">
        <v>3363</v>
      </c>
      <c r="E22" s="49">
        <v>4</v>
      </c>
      <c r="F22" s="49" t="s">
        <v>66</v>
      </c>
      <c r="G22" s="61">
        <f t="shared" si="0"/>
        <v>13.452</v>
      </c>
      <c r="H22" s="62">
        <f t="shared" si="1"/>
        <v>0.5605</v>
      </c>
      <c r="I22" s="9"/>
      <c r="J22" s="9"/>
    </row>
    <row r="23" spans="2:10" ht="33">
      <c r="B23" s="9"/>
      <c r="C23" s="24" t="s">
        <v>101</v>
      </c>
      <c r="D23" s="49">
        <v>218</v>
      </c>
      <c r="E23" s="49">
        <v>4</v>
      </c>
      <c r="F23" s="49" t="s">
        <v>66</v>
      </c>
      <c r="G23" s="61">
        <f t="shared" si="0"/>
        <v>0.872</v>
      </c>
      <c r="H23" s="62">
        <f t="shared" si="1"/>
        <v>3.6333333333333336E-2</v>
      </c>
      <c r="I23" s="9"/>
      <c r="J23" s="9"/>
    </row>
    <row r="24" spans="2:10" ht="85.8" customHeight="1">
      <c r="B24" s="9"/>
      <c r="C24" s="24" t="s">
        <v>102</v>
      </c>
      <c r="D24" s="49">
        <v>1005</v>
      </c>
      <c r="E24" s="49">
        <v>4</v>
      </c>
      <c r="F24" s="49" t="s">
        <v>66</v>
      </c>
      <c r="G24" s="61">
        <f t="shared" si="0"/>
        <v>4.0199999999999996</v>
      </c>
      <c r="H24" s="62">
        <f t="shared" si="1"/>
        <v>0.16749999999999998</v>
      </c>
      <c r="I24" s="9"/>
      <c r="J24" s="9"/>
    </row>
    <row r="25" spans="2:10" ht="33">
      <c r="B25" s="9"/>
      <c r="C25" s="24" t="s">
        <v>103</v>
      </c>
      <c r="D25" s="49">
        <v>1088</v>
      </c>
      <c r="E25" s="49">
        <v>4</v>
      </c>
      <c r="F25" s="49" t="s">
        <v>66</v>
      </c>
      <c r="G25" s="61">
        <f t="shared" si="0"/>
        <v>4.3520000000000003</v>
      </c>
      <c r="H25" s="62">
        <f t="shared" si="1"/>
        <v>0.18133333333333335</v>
      </c>
      <c r="I25" s="9"/>
      <c r="J25" s="9"/>
    </row>
    <row r="26" spans="2:10" ht="49.8" customHeight="1">
      <c r="B26" s="9"/>
      <c r="C26" s="24" t="s">
        <v>104</v>
      </c>
      <c r="D26" s="49">
        <v>245</v>
      </c>
      <c r="E26" s="49">
        <v>4</v>
      </c>
      <c r="F26" s="49" t="s">
        <v>66</v>
      </c>
      <c r="G26" s="61">
        <f t="shared" si="0"/>
        <v>0.98</v>
      </c>
      <c r="H26" s="62">
        <f t="shared" si="1"/>
        <v>4.0833333333333333E-2</v>
      </c>
      <c r="I26" s="9"/>
      <c r="J26" s="9"/>
    </row>
    <row r="27" spans="2:10" ht="100.2" customHeight="1">
      <c r="B27" s="9"/>
      <c r="C27" s="24" t="s">
        <v>105</v>
      </c>
      <c r="D27" s="49">
        <v>1455</v>
      </c>
      <c r="E27" s="49">
        <v>4</v>
      </c>
      <c r="F27" s="49" t="s">
        <v>66</v>
      </c>
      <c r="G27" s="61">
        <f t="shared" si="0"/>
        <v>5.82</v>
      </c>
      <c r="H27" s="62">
        <f t="shared" si="1"/>
        <v>0.24250000000000002</v>
      </c>
      <c r="I27" s="9"/>
      <c r="J27" s="9"/>
    </row>
    <row r="28" spans="2:10" ht="78.599999999999994" customHeight="1">
      <c r="B28" s="9"/>
      <c r="C28" s="24" t="s">
        <v>106</v>
      </c>
      <c r="D28" s="49">
        <v>80</v>
      </c>
      <c r="E28" s="49">
        <v>180</v>
      </c>
      <c r="F28" s="49" t="s">
        <v>107</v>
      </c>
      <c r="G28" s="61">
        <f t="shared" si="0"/>
        <v>14.4</v>
      </c>
      <c r="H28" s="62">
        <f t="shared" si="1"/>
        <v>0.6</v>
      </c>
      <c r="I28" s="9"/>
      <c r="J28" s="9"/>
    </row>
    <row r="29" spans="2:10" ht="31.2">
      <c r="B29" s="9"/>
      <c r="C29" s="24" t="s">
        <v>34</v>
      </c>
      <c r="D29" s="49">
        <v>149.77000000000001</v>
      </c>
      <c r="E29" s="49">
        <v>6.24</v>
      </c>
      <c r="F29" s="31"/>
      <c r="G29" s="31"/>
      <c r="H29" s="31"/>
      <c r="I29" s="9"/>
      <c r="J29" s="9"/>
    </row>
    <row r="30" spans="2:10" ht="31.2">
      <c r="B30" s="9" t="s">
        <v>258</v>
      </c>
      <c r="D30" s="9"/>
      <c r="E30" s="9"/>
      <c r="F30" s="9"/>
      <c r="G30" s="9"/>
      <c r="H30" s="9"/>
      <c r="I30" s="9"/>
      <c r="J30" s="9"/>
    </row>
    <row r="31" spans="2:10" ht="78.599999999999994" customHeight="1">
      <c r="B31" s="9"/>
      <c r="C31" s="38" t="s">
        <v>48</v>
      </c>
      <c r="D31" s="38" t="s">
        <v>74</v>
      </c>
      <c r="E31" s="38" t="s">
        <v>201</v>
      </c>
      <c r="F31" s="38" t="s">
        <v>51</v>
      </c>
      <c r="G31" s="63" t="s">
        <v>184</v>
      </c>
      <c r="H31" s="63" t="s">
        <v>183</v>
      </c>
      <c r="I31" s="9"/>
      <c r="J31" s="9"/>
    </row>
    <row r="32" spans="2:10" ht="69.599999999999994" customHeight="1">
      <c r="B32" s="9"/>
      <c r="C32" s="24" t="s">
        <v>108</v>
      </c>
      <c r="D32" s="24">
        <v>60</v>
      </c>
      <c r="E32" s="24">
        <v>20</v>
      </c>
      <c r="F32" s="24" t="s">
        <v>109</v>
      </c>
      <c r="G32" s="62">
        <f t="shared" ref="G32:G42" si="2">(E32*D32)/1000</f>
        <v>1.2</v>
      </c>
      <c r="H32" s="62">
        <f t="shared" ref="H32:H42" si="3">(G32/24)</f>
        <v>4.9999999999999996E-2</v>
      </c>
      <c r="I32" s="9"/>
      <c r="J32" s="9"/>
    </row>
    <row r="33" spans="2:10" ht="77.400000000000006" customHeight="1">
      <c r="B33" s="9"/>
      <c r="C33" s="24" t="s">
        <v>110</v>
      </c>
      <c r="D33" s="24">
        <v>2317</v>
      </c>
      <c r="E33" s="24">
        <v>20</v>
      </c>
      <c r="F33" s="24" t="s">
        <v>111</v>
      </c>
      <c r="G33" s="62">
        <f t="shared" si="2"/>
        <v>46.34</v>
      </c>
      <c r="H33" s="62">
        <f t="shared" si="3"/>
        <v>1.9308333333333334</v>
      </c>
      <c r="I33" s="9"/>
      <c r="J33" s="9"/>
    </row>
    <row r="34" spans="2:10" ht="74.400000000000006" customHeight="1">
      <c r="B34" s="9"/>
      <c r="C34" s="24" t="s">
        <v>112</v>
      </c>
      <c r="D34" s="24">
        <v>5340.8</v>
      </c>
      <c r="E34" s="24">
        <v>4</v>
      </c>
      <c r="F34" s="24" t="s">
        <v>66</v>
      </c>
      <c r="G34" s="62">
        <f t="shared" si="2"/>
        <v>21.363199999999999</v>
      </c>
      <c r="H34" s="62">
        <f t="shared" si="3"/>
        <v>0.89013333333333333</v>
      </c>
      <c r="I34" s="9"/>
      <c r="J34" s="9"/>
    </row>
    <row r="35" spans="2:10" ht="87" customHeight="1">
      <c r="B35" s="9"/>
      <c r="C35" s="24" t="s">
        <v>113</v>
      </c>
      <c r="D35" s="24">
        <v>572</v>
      </c>
      <c r="E35" s="24">
        <v>10</v>
      </c>
      <c r="F35" s="24" t="s">
        <v>66</v>
      </c>
      <c r="G35" s="62">
        <f t="shared" si="2"/>
        <v>5.72</v>
      </c>
      <c r="H35" s="62">
        <f t="shared" si="3"/>
        <v>0.23833333333333331</v>
      </c>
      <c r="I35" s="9"/>
      <c r="J35" s="9"/>
    </row>
    <row r="36" spans="2:10" ht="61.2" customHeight="1">
      <c r="B36" s="9"/>
      <c r="C36" s="24" t="s">
        <v>114</v>
      </c>
      <c r="D36" s="24">
        <v>7966</v>
      </c>
      <c r="E36" s="24">
        <v>0.5</v>
      </c>
      <c r="F36" s="24" t="s">
        <v>66</v>
      </c>
      <c r="G36" s="62">
        <f t="shared" si="2"/>
        <v>3.9830000000000001</v>
      </c>
      <c r="H36" s="62">
        <f t="shared" si="3"/>
        <v>0.16595833333333335</v>
      </c>
      <c r="I36" s="9"/>
      <c r="J36" s="9"/>
    </row>
    <row r="37" spans="2:10" ht="50.4" customHeight="1">
      <c r="B37" s="9"/>
      <c r="C37" s="24" t="s">
        <v>115</v>
      </c>
      <c r="D37" s="24">
        <v>5820</v>
      </c>
      <c r="E37" s="24">
        <v>0.5</v>
      </c>
      <c r="F37" s="24" t="s">
        <v>66</v>
      </c>
      <c r="G37" s="62">
        <f t="shared" si="2"/>
        <v>2.91</v>
      </c>
      <c r="H37" s="62">
        <f t="shared" si="3"/>
        <v>0.12125000000000001</v>
      </c>
      <c r="I37" s="9"/>
      <c r="J37" s="9"/>
    </row>
    <row r="38" spans="2:10" ht="63" customHeight="1">
      <c r="B38" s="9"/>
      <c r="C38" s="24" t="s">
        <v>116</v>
      </c>
      <c r="D38" s="24">
        <v>900</v>
      </c>
      <c r="E38" s="24">
        <v>4</v>
      </c>
      <c r="F38" s="24" t="s">
        <v>66</v>
      </c>
      <c r="G38" s="62">
        <f t="shared" si="2"/>
        <v>3.6</v>
      </c>
      <c r="H38" s="62">
        <f t="shared" si="3"/>
        <v>0.15</v>
      </c>
      <c r="I38" s="9"/>
      <c r="J38" s="9"/>
    </row>
    <row r="39" spans="2:10" ht="33">
      <c r="B39" s="9"/>
      <c r="C39" s="24" t="s">
        <v>117</v>
      </c>
      <c r="D39" s="24">
        <v>6655</v>
      </c>
      <c r="E39" s="24">
        <v>3</v>
      </c>
      <c r="F39" s="24" t="s">
        <v>66</v>
      </c>
      <c r="G39" s="62">
        <f t="shared" si="2"/>
        <v>19.965</v>
      </c>
      <c r="H39" s="62">
        <f t="shared" si="3"/>
        <v>0.83187500000000003</v>
      </c>
      <c r="I39" s="9"/>
      <c r="J39" s="9"/>
    </row>
    <row r="40" spans="2:10" ht="33">
      <c r="B40" s="9"/>
      <c r="C40" s="24" t="s">
        <v>118</v>
      </c>
      <c r="D40" s="24">
        <v>470</v>
      </c>
      <c r="E40" s="24">
        <v>4</v>
      </c>
      <c r="F40" s="24" t="s">
        <v>66</v>
      </c>
      <c r="G40" s="62">
        <f t="shared" si="2"/>
        <v>1.88</v>
      </c>
      <c r="H40" s="62">
        <f t="shared" si="3"/>
        <v>7.8333333333333324E-2</v>
      </c>
      <c r="I40" s="9"/>
      <c r="J40" s="9"/>
    </row>
    <row r="41" spans="2:10" ht="30" customHeight="1">
      <c r="B41" s="9"/>
      <c r="C41" s="24" t="s">
        <v>119</v>
      </c>
      <c r="D41" s="24">
        <v>1830</v>
      </c>
      <c r="E41" s="24">
        <v>4</v>
      </c>
      <c r="F41" s="24" t="s">
        <v>66</v>
      </c>
      <c r="G41" s="62">
        <f t="shared" si="2"/>
        <v>7.32</v>
      </c>
      <c r="H41" s="62">
        <f t="shared" si="3"/>
        <v>0.30499999999999999</v>
      </c>
      <c r="I41" s="9"/>
      <c r="J41" s="9"/>
    </row>
    <row r="42" spans="2:10" ht="48" customHeight="1">
      <c r="B42" s="9"/>
      <c r="C42" s="24" t="s">
        <v>120</v>
      </c>
      <c r="D42" s="24">
        <v>1150</v>
      </c>
      <c r="E42" s="24">
        <v>4</v>
      </c>
      <c r="F42" s="24" t="s">
        <v>66</v>
      </c>
      <c r="G42" s="62">
        <f t="shared" si="2"/>
        <v>4.5999999999999996</v>
      </c>
      <c r="H42" s="62">
        <f t="shared" si="3"/>
        <v>0.19166666666666665</v>
      </c>
      <c r="I42" s="9"/>
      <c r="J42" s="9"/>
    </row>
    <row r="43" spans="2:10" ht="31.2">
      <c r="B43" s="9"/>
      <c r="C43" s="24" t="s">
        <v>34</v>
      </c>
      <c r="D43" s="24">
        <v>118.88120000000001</v>
      </c>
      <c r="E43" s="24">
        <v>4.95</v>
      </c>
      <c r="F43" s="9"/>
      <c r="G43" s="9"/>
      <c r="H43" s="9"/>
      <c r="I43" s="9"/>
      <c r="J43" s="9"/>
    </row>
    <row r="44" spans="2:10" ht="31.2">
      <c r="B44" s="9"/>
      <c r="C44" s="57"/>
      <c r="D44" s="9"/>
      <c r="E44" s="9"/>
      <c r="F44" s="9"/>
      <c r="G44" s="9"/>
      <c r="H44" s="9"/>
      <c r="I44" s="9"/>
      <c r="J44" s="9"/>
    </row>
    <row r="45" spans="2:10" ht="31.2">
      <c r="B45" s="9"/>
      <c r="C45" s="9"/>
      <c r="D45" s="9"/>
      <c r="E45" s="9"/>
      <c r="F45" s="9"/>
      <c r="G45" s="9"/>
      <c r="H45" s="9"/>
      <c r="I45" s="9"/>
      <c r="J45" s="9"/>
    </row>
    <row r="46" spans="2:10" ht="31.2">
      <c r="B46" s="21" t="s">
        <v>259</v>
      </c>
      <c r="D46" s="9"/>
      <c r="E46" s="9"/>
      <c r="F46" s="9"/>
      <c r="G46" s="9"/>
      <c r="H46" s="9"/>
      <c r="I46" s="9"/>
      <c r="J46" s="9"/>
    </row>
    <row r="47" spans="2:10" ht="31.2">
      <c r="B47" s="9"/>
      <c r="C47" s="9"/>
      <c r="D47" s="9"/>
      <c r="E47" s="9"/>
      <c r="F47" s="9"/>
      <c r="G47" s="9"/>
      <c r="H47" s="9"/>
      <c r="I47" s="9"/>
      <c r="J47" s="9"/>
    </row>
    <row r="48" spans="2:10" ht="73.8" customHeight="1">
      <c r="B48" s="9"/>
      <c r="C48" s="121" t="s">
        <v>260</v>
      </c>
      <c r="D48" s="122"/>
      <c r="E48" s="122"/>
      <c r="F48" s="122"/>
      <c r="G48" s="122"/>
      <c r="H48" s="122"/>
      <c r="I48" s="9"/>
      <c r="J48" s="9"/>
    </row>
    <row r="49" spans="2:10" ht="31.2">
      <c r="B49" s="9"/>
      <c r="C49" s="9"/>
      <c r="D49" s="9"/>
      <c r="E49" s="9"/>
      <c r="F49" s="9"/>
      <c r="G49" s="9"/>
      <c r="H49" s="9"/>
      <c r="I49" s="9"/>
      <c r="J49" s="9"/>
    </row>
    <row r="50" spans="2:10" ht="60">
      <c r="B50" s="9"/>
      <c r="C50" s="38" t="s">
        <v>48</v>
      </c>
      <c r="D50" s="38" t="s">
        <v>74</v>
      </c>
      <c r="E50" s="38" t="s">
        <v>202</v>
      </c>
      <c r="F50" s="38" t="s">
        <v>84</v>
      </c>
      <c r="G50" s="38" t="s">
        <v>184</v>
      </c>
      <c r="H50" s="38" t="s">
        <v>183</v>
      </c>
      <c r="I50" s="9"/>
      <c r="J50" s="9"/>
    </row>
    <row r="51" spans="2:10" ht="31.2">
      <c r="B51" s="9"/>
      <c r="C51" s="24" t="s">
        <v>121</v>
      </c>
      <c r="D51" s="24">
        <v>354</v>
      </c>
      <c r="E51" s="24">
        <v>4</v>
      </c>
      <c r="F51" s="24" t="s">
        <v>66</v>
      </c>
      <c r="G51" s="56">
        <f t="shared" ref="G51:G64" si="4">(D51*E51/1000)</f>
        <v>1.4159999999999999</v>
      </c>
      <c r="H51" s="56">
        <f t="shared" ref="H51:H64" si="5">(G51/24)</f>
        <v>5.8999999999999997E-2</v>
      </c>
      <c r="I51" s="9"/>
      <c r="J51" s="9"/>
    </row>
    <row r="52" spans="2:10" ht="59.4" customHeight="1">
      <c r="B52" s="9"/>
      <c r="C52" s="24" t="s">
        <v>122</v>
      </c>
      <c r="D52" s="24">
        <v>420</v>
      </c>
      <c r="E52" s="24">
        <v>4</v>
      </c>
      <c r="F52" s="24" t="s">
        <v>66</v>
      </c>
      <c r="G52" s="56">
        <f t="shared" si="4"/>
        <v>1.68</v>
      </c>
      <c r="H52" s="56">
        <f t="shared" si="5"/>
        <v>6.9999999999999993E-2</v>
      </c>
      <c r="I52" s="9"/>
      <c r="J52" s="9"/>
    </row>
    <row r="53" spans="2:10" ht="55.8" customHeight="1">
      <c r="B53" s="9"/>
      <c r="C53" s="24" t="s">
        <v>123</v>
      </c>
      <c r="D53" s="24">
        <v>420</v>
      </c>
      <c r="E53" s="24">
        <v>4</v>
      </c>
      <c r="F53" s="24" t="s">
        <v>66</v>
      </c>
      <c r="G53" s="56">
        <f t="shared" si="4"/>
        <v>1.68</v>
      </c>
      <c r="H53" s="56">
        <f t="shared" si="5"/>
        <v>6.9999999999999993E-2</v>
      </c>
      <c r="I53" s="9"/>
      <c r="J53" s="9"/>
    </row>
    <row r="54" spans="2:10" ht="44.4" customHeight="1">
      <c r="B54" s="9"/>
      <c r="C54" s="24" t="s">
        <v>124</v>
      </c>
      <c r="D54" s="24">
        <v>396</v>
      </c>
      <c r="E54" s="24">
        <v>4</v>
      </c>
      <c r="F54" s="24" t="s">
        <v>66</v>
      </c>
      <c r="G54" s="56">
        <f t="shared" si="4"/>
        <v>1.5840000000000001</v>
      </c>
      <c r="H54" s="56">
        <f t="shared" si="5"/>
        <v>6.6000000000000003E-2</v>
      </c>
      <c r="I54" s="9"/>
      <c r="J54" s="9"/>
    </row>
    <row r="55" spans="2:10" ht="57.6" customHeight="1">
      <c r="B55" s="9"/>
      <c r="C55" s="24" t="s">
        <v>125</v>
      </c>
      <c r="D55" s="24">
        <v>322</v>
      </c>
      <c r="E55" s="24">
        <v>4</v>
      </c>
      <c r="F55" s="24" t="s">
        <v>66</v>
      </c>
      <c r="G55" s="56">
        <f t="shared" si="4"/>
        <v>1.288</v>
      </c>
      <c r="H55" s="56">
        <f t="shared" si="5"/>
        <v>5.3666666666666668E-2</v>
      </c>
      <c r="I55" s="9"/>
      <c r="J55" s="9"/>
    </row>
    <row r="56" spans="2:10" ht="92.4" customHeight="1">
      <c r="B56" s="9"/>
      <c r="C56" s="24" t="s">
        <v>126</v>
      </c>
      <c r="D56" s="24">
        <v>4402</v>
      </c>
      <c r="E56" s="24">
        <v>4</v>
      </c>
      <c r="F56" s="24" t="s">
        <v>66</v>
      </c>
      <c r="G56" s="56">
        <f t="shared" si="4"/>
        <v>17.608000000000001</v>
      </c>
      <c r="H56" s="56">
        <f t="shared" si="5"/>
        <v>0.73366666666666669</v>
      </c>
      <c r="I56" s="9"/>
      <c r="J56" s="9"/>
    </row>
    <row r="57" spans="2:10" ht="85.2" customHeight="1">
      <c r="B57" s="9"/>
      <c r="C57" s="24" t="s">
        <v>127</v>
      </c>
      <c r="D57" s="24">
        <v>40</v>
      </c>
      <c r="E57" s="24">
        <v>200</v>
      </c>
      <c r="F57" s="24" t="s">
        <v>128</v>
      </c>
      <c r="G57" s="56">
        <f t="shared" si="4"/>
        <v>8</v>
      </c>
      <c r="H57" s="56">
        <f t="shared" si="5"/>
        <v>0.33333333333333331</v>
      </c>
      <c r="I57" s="9"/>
      <c r="J57" s="9"/>
    </row>
    <row r="58" spans="2:10" ht="76.8" customHeight="1">
      <c r="B58" s="9"/>
      <c r="C58" s="24" t="s">
        <v>129</v>
      </c>
      <c r="D58" s="24">
        <v>40</v>
      </c>
      <c r="E58" s="24">
        <v>200</v>
      </c>
      <c r="F58" s="24" t="s">
        <v>128</v>
      </c>
      <c r="G58" s="56">
        <f t="shared" si="4"/>
        <v>8</v>
      </c>
      <c r="H58" s="56">
        <f t="shared" si="5"/>
        <v>0.33333333333333331</v>
      </c>
      <c r="I58" s="9"/>
      <c r="J58" s="9"/>
    </row>
    <row r="59" spans="2:10" ht="49.8" customHeight="1">
      <c r="B59" s="9"/>
      <c r="C59" s="24" t="s">
        <v>130</v>
      </c>
      <c r="D59" s="24">
        <v>215</v>
      </c>
      <c r="E59" s="24">
        <v>4</v>
      </c>
      <c r="F59" s="24" t="s">
        <v>66</v>
      </c>
      <c r="G59" s="56">
        <f t="shared" si="4"/>
        <v>0.86</v>
      </c>
      <c r="H59" s="56">
        <f t="shared" si="5"/>
        <v>3.5833333333333335E-2</v>
      </c>
      <c r="I59" s="9"/>
      <c r="J59" s="9"/>
    </row>
    <row r="60" spans="2:10" ht="68.400000000000006" customHeight="1">
      <c r="B60" s="9"/>
      <c r="C60" s="24" t="s">
        <v>131</v>
      </c>
      <c r="D60" s="24">
        <v>3228</v>
      </c>
      <c r="E60" s="24">
        <v>4</v>
      </c>
      <c r="F60" s="24" t="s">
        <v>66</v>
      </c>
      <c r="G60" s="56">
        <f t="shared" si="4"/>
        <v>12.912000000000001</v>
      </c>
      <c r="H60" s="56">
        <f t="shared" si="5"/>
        <v>0.53800000000000003</v>
      </c>
      <c r="I60" s="9"/>
      <c r="J60" s="9"/>
    </row>
    <row r="61" spans="2:10" ht="60.6" customHeight="1">
      <c r="B61" s="9"/>
      <c r="C61" s="24" t="s">
        <v>132</v>
      </c>
      <c r="D61" s="24">
        <v>1000</v>
      </c>
      <c r="E61" s="24">
        <v>4</v>
      </c>
      <c r="F61" s="24" t="s">
        <v>66</v>
      </c>
      <c r="G61" s="56">
        <f t="shared" si="4"/>
        <v>4</v>
      </c>
      <c r="H61" s="56">
        <f t="shared" si="5"/>
        <v>0.16666666666666666</v>
      </c>
      <c r="I61" s="9"/>
      <c r="J61" s="9"/>
    </row>
    <row r="62" spans="2:10" ht="34.200000000000003" customHeight="1">
      <c r="B62" s="9"/>
      <c r="C62" s="24" t="s">
        <v>133</v>
      </c>
      <c r="D62" s="24">
        <v>150</v>
      </c>
      <c r="E62" s="24">
        <v>5</v>
      </c>
      <c r="F62" s="24" t="s">
        <v>134</v>
      </c>
      <c r="G62" s="56">
        <f t="shared" si="4"/>
        <v>0.75</v>
      </c>
      <c r="H62" s="56">
        <f t="shared" si="5"/>
        <v>3.125E-2</v>
      </c>
      <c r="I62" s="9"/>
      <c r="J62" s="9"/>
    </row>
    <row r="63" spans="2:10" ht="60" customHeight="1">
      <c r="B63" s="9"/>
      <c r="C63" s="24" t="s">
        <v>135</v>
      </c>
      <c r="D63" s="24">
        <v>150</v>
      </c>
      <c r="E63" s="24">
        <v>180</v>
      </c>
      <c r="F63" s="24" t="s">
        <v>136</v>
      </c>
      <c r="G63" s="56">
        <f t="shared" si="4"/>
        <v>27</v>
      </c>
      <c r="H63" s="56">
        <f t="shared" si="5"/>
        <v>1.125</v>
      </c>
      <c r="I63" s="9"/>
      <c r="J63" s="9"/>
    </row>
    <row r="64" spans="2:10" ht="40.799999999999997" customHeight="1">
      <c r="B64" s="9"/>
      <c r="C64" s="24" t="s">
        <v>137</v>
      </c>
      <c r="D64" s="24">
        <v>300</v>
      </c>
      <c r="E64" s="24">
        <v>180</v>
      </c>
      <c r="F64" s="24" t="s">
        <v>137</v>
      </c>
      <c r="G64" s="56">
        <f t="shared" si="4"/>
        <v>54</v>
      </c>
      <c r="H64" s="56">
        <f t="shared" si="5"/>
        <v>2.25</v>
      </c>
      <c r="I64" s="9"/>
      <c r="J64" s="9"/>
    </row>
    <row r="65" spans="2:10" ht="31.2">
      <c r="B65" s="9"/>
      <c r="C65" s="24" t="s">
        <v>34</v>
      </c>
      <c r="D65" s="24">
        <v>140.77799999999999</v>
      </c>
      <c r="E65" s="24">
        <v>5.87</v>
      </c>
      <c r="F65" s="9"/>
      <c r="G65" s="9"/>
      <c r="H65" s="9"/>
      <c r="I65" s="9"/>
      <c r="J65" s="9"/>
    </row>
    <row r="66" spans="2:10" ht="31.2">
      <c r="B66" s="9"/>
      <c r="C66" s="57"/>
      <c r="D66" s="9"/>
      <c r="E66" s="9"/>
      <c r="F66" s="9"/>
      <c r="G66" s="9"/>
      <c r="H66" s="9"/>
      <c r="I66" s="9"/>
      <c r="J66" s="9"/>
    </row>
    <row r="67" spans="2:10" ht="31.2">
      <c r="B67" s="9"/>
      <c r="C67" s="9"/>
      <c r="D67" s="9"/>
      <c r="E67" s="9"/>
      <c r="F67" s="9"/>
      <c r="G67" s="9"/>
      <c r="H67" s="9"/>
      <c r="I67" s="9"/>
      <c r="J67" s="9"/>
    </row>
    <row r="68" spans="2:10" ht="31.2">
      <c r="B68" s="9"/>
      <c r="C68" s="21" t="s">
        <v>138</v>
      </c>
      <c r="D68" s="9"/>
      <c r="E68" s="9"/>
      <c r="F68" s="9"/>
      <c r="G68" s="9"/>
      <c r="H68" s="9"/>
      <c r="I68" s="9"/>
      <c r="J68" s="9"/>
    </row>
    <row r="69" spans="2:10" ht="31.2">
      <c r="B69" s="9"/>
      <c r="C69" s="21"/>
      <c r="D69" s="9"/>
      <c r="E69" s="9"/>
      <c r="F69" s="9"/>
      <c r="G69" s="9"/>
      <c r="H69" s="9"/>
      <c r="I69" s="9"/>
      <c r="J69" s="9"/>
    </row>
    <row r="70" spans="2:10" ht="94.2" customHeight="1">
      <c r="B70" s="9"/>
      <c r="C70" s="38" t="s">
        <v>139</v>
      </c>
      <c r="D70" s="38" t="s">
        <v>183</v>
      </c>
      <c r="E70" s="9"/>
      <c r="F70" s="9"/>
      <c r="G70" s="9"/>
      <c r="H70" s="9"/>
      <c r="I70" s="9"/>
      <c r="J70" s="9"/>
    </row>
    <row r="71" spans="2:10" ht="57" customHeight="1">
      <c r="B71" s="9"/>
      <c r="C71" s="24" t="s">
        <v>140</v>
      </c>
      <c r="D71" s="24">
        <v>1010.25</v>
      </c>
      <c r="E71" s="9"/>
      <c r="F71" s="9"/>
      <c r="G71" s="9"/>
      <c r="H71" s="9"/>
      <c r="I71" s="9"/>
      <c r="J71" s="9"/>
    </row>
    <row r="72" spans="2:10" ht="51" customHeight="1">
      <c r="B72" s="9"/>
      <c r="C72" s="24" t="s">
        <v>141</v>
      </c>
      <c r="D72" s="24">
        <v>2.97</v>
      </c>
      <c r="E72" s="9"/>
      <c r="F72" s="9"/>
      <c r="G72" s="9"/>
      <c r="H72" s="9"/>
      <c r="I72" s="9"/>
      <c r="J72" s="9"/>
    </row>
    <row r="73" spans="2:10" ht="31.2">
      <c r="B73" s="9"/>
      <c r="C73" s="24" t="s">
        <v>142</v>
      </c>
      <c r="D73" s="24">
        <v>1.73</v>
      </c>
      <c r="E73" s="9"/>
      <c r="F73" s="9"/>
      <c r="G73" s="9"/>
      <c r="H73" s="9"/>
      <c r="I73" s="9"/>
      <c r="J73" s="9"/>
    </row>
    <row r="74" spans="2:10" ht="31.2">
      <c r="B74" s="9"/>
      <c r="C74" s="24" t="s">
        <v>143</v>
      </c>
      <c r="D74" s="24">
        <v>0.33</v>
      </c>
      <c r="E74" s="9"/>
      <c r="F74" s="9"/>
      <c r="G74" s="9"/>
      <c r="H74" s="9"/>
      <c r="I74" s="9"/>
      <c r="J74" s="9"/>
    </row>
    <row r="75" spans="2:10" ht="31.2">
      <c r="B75" s="9"/>
      <c r="C75" s="24" t="s">
        <v>144</v>
      </c>
      <c r="D75" s="24">
        <v>1.79</v>
      </c>
      <c r="E75" s="9"/>
      <c r="F75" s="9"/>
      <c r="G75" s="9"/>
      <c r="H75" s="9"/>
      <c r="I75" s="9"/>
      <c r="J75" s="9"/>
    </row>
    <row r="76" spans="2:10" ht="31.2">
      <c r="B76" s="9"/>
      <c r="C76" s="24" t="s">
        <v>145</v>
      </c>
      <c r="D76" s="24">
        <v>6.24</v>
      </c>
      <c r="E76" s="9"/>
      <c r="F76" s="9"/>
      <c r="G76" s="9"/>
      <c r="H76" s="9"/>
      <c r="I76" s="9"/>
      <c r="J76" s="9"/>
    </row>
    <row r="77" spans="2:10" ht="31.2">
      <c r="B77" s="9"/>
      <c r="C77" s="24" t="s">
        <v>146</v>
      </c>
      <c r="D77" s="24">
        <v>4.95</v>
      </c>
      <c r="E77" s="9"/>
      <c r="F77" s="9"/>
      <c r="G77" s="9"/>
      <c r="H77" s="9"/>
      <c r="I77" s="9"/>
      <c r="J77" s="9"/>
    </row>
    <row r="78" spans="2:10" ht="55.2" customHeight="1">
      <c r="B78" s="9"/>
      <c r="C78" s="24" t="s">
        <v>147</v>
      </c>
      <c r="D78" s="24">
        <v>5.87</v>
      </c>
      <c r="E78" s="9"/>
      <c r="F78" s="9"/>
      <c r="G78" s="9"/>
      <c r="H78" s="9"/>
      <c r="I78" s="9"/>
      <c r="J78" s="9"/>
    </row>
    <row r="79" spans="2:10" ht="31.2">
      <c r="B79" s="9"/>
      <c r="C79" s="24" t="s">
        <v>34</v>
      </c>
      <c r="D79" s="24">
        <f>SUM(D71:D78)</f>
        <v>1034.1299999999999</v>
      </c>
      <c r="E79" s="9"/>
      <c r="F79" s="9"/>
      <c r="G79" s="9"/>
      <c r="H79" s="9"/>
      <c r="I79" s="9"/>
      <c r="J79" s="9"/>
    </row>
    <row r="80" spans="2:10" ht="31.2">
      <c r="B80" s="9"/>
      <c r="C80" s="57"/>
      <c r="D80" s="9"/>
      <c r="E80" s="9"/>
      <c r="F80" s="9"/>
      <c r="G80" s="9"/>
      <c r="H80" s="9"/>
      <c r="I80" s="9"/>
      <c r="J80" s="9"/>
    </row>
    <row r="81" spans="2:10" ht="31.2">
      <c r="B81" s="9"/>
      <c r="C81" s="9"/>
      <c r="D81" s="9"/>
      <c r="E81" s="9"/>
      <c r="F81" s="9"/>
      <c r="G81" s="9"/>
      <c r="H81" s="9"/>
      <c r="I81" s="9"/>
      <c r="J81" s="9"/>
    </row>
    <row r="82" spans="2:10" ht="33">
      <c r="B82" s="9"/>
      <c r="C82" s="35" t="s">
        <v>203</v>
      </c>
      <c r="D82" s="9"/>
      <c r="E82" s="9"/>
      <c r="F82" s="9"/>
      <c r="G82" s="9"/>
      <c r="H82" s="9"/>
      <c r="I82" s="9"/>
      <c r="J82" s="9"/>
    </row>
    <row r="83" spans="2:10" ht="31.2">
      <c r="B83" s="9"/>
      <c r="C83" s="9"/>
      <c r="D83" s="9"/>
      <c r="E83" s="9"/>
      <c r="F83" s="9"/>
      <c r="G83" s="9"/>
      <c r="H83" s="9"/>
      <c r="I83" s="9"/>
      <c r="J83" s="9"/>
    </row>
    <row r="84" spans="2:10" ht="31.2">
      <c r="B84" s="9"/>
      <c r="C84" s="21" t="s">
        <v>148</v>
      </c>
      <c r="D84" s="9"/>
      <c r="E84" s="9"/>
      <c r="F84" s="9"/>
      <c r="G84" s="9"/>
      <c r="H84" s="9"/>
      <c r="I84" s="9"/>
      <c r="J84" s="9"/>
    </row>
    <row r="85" spans="2:10" ht="31.2">
      <c r="B85" s="9"/>
      <c r="C85" s="9"/>
      <c r="D85" s="9"/>
      <c r="E85" s="9"/>
      <c r="F85" s="9"/>
      <c r="G85" s="9"/>
      <c r="H85" s="9"/>
      <c r="I85" s="9"/>
      <c r="J85" s="9"/>
    </row>
    <row r="86" spans="2:10" ht="31.2">
      <c r="B86" s="9"/>
      <c r="C86" s="9"/>
      <c r="D86" s="9"/>
      <c r="E86" s="9"/>
      <c r="F86" s="9"/>
      <c r="G86" s="9"/>
      <c r="H86" s="9"/>
      <c r="I86" s="9"/>
      <c r="J86" s="9"/>
    </row>
    <row r="131" ht="94.2" customHeight="1"/>
  </sheetData>
  <mergeCells count="2">
    <mergeCell ref="C4:H4"/>
    <mergeCell ref="C48:H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1 projection démograpique</vt:lpstr>
      <vt:lpstr>2 cons domestique </vt:lpstr>
      <vt:lpstr>3 Q MAX JOURNALIER</vt:lpstr>
      <vt:lpstr>4 et 5 Q MO HORAIRE</vt:lpstr>
      <vt:lpstr>6 variat Q hor</vt:lpstr>
      <vt:lpstr>7 EQUIP EDUC </vt:lpstr>
      <vt:lpstr>8 etablissement sanitaire</vt:lpstr>
      <vt:lpstr>9 equi sport</vt:lpstr>
      <vt:lpstr>10 11 et 12 besoin total</vt:lpstr>
      <vt:lpstr>13 et 14 pertes et Q de pointe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ZED</dc:creator>
  <cp:lastModifiedBy>ZED</cp:lastModifiedBy>
  <dcterms:created xsi:type="dcterms:W3CDTF">2024-11-25T17:31:17Z</dcterms:created>
  <dcterms:modified xsi:type="dcterms:W3CDTF">2024-12-19T11:02:41Z</dcterms:modified>
</cp:coreProperties>
</file>